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0" windowWidth="17490" windowHeight="573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Druckversion!$A$1:$BR$118</definedName>
    <definedName name="_xlnm.Print_Area" localSheetId="0">Ergebniseingabe!$A$1:$BQ$117</definedName>
  </definedNames>
  <calcPr calcId="125725"/>
</workbook>
</file>

<file path=xl/calcChain.xml><?xml version="1.0" encoding="utf-8"?>
<calcChain xmlns="http://schemas.openxmlformats.org/spreadsheetml/2006/main">
  <c r="D24" i="2"/>
  <c r="D25"/>
  <c r="D26"/>
  <c r="D27"/>
  <c r="D28"/>
  <c r="D29"/>
  <c r="D30"/>
  <c r="D31"/>
  <c r="D32"/>
  <c r="D33"/>
  <c r="D34"/>
  <c r="D23"/>
  <c r="AH37" i="1"/>
  <c r="AG33" i="2"/>
  <c r="L37" i="1"/>
  <c r="AH36"/>
  <c r="AG32" i="2"/>
  <c r="L36" i="1"/>
  <c r="AH33"/>
  <c r="AG29" i="2"/>
  <c r="L33" i="1"/>
  <c r="AH32"/>
  <c r="AG28" i="2"/>
  <c r="L32" i="1"/>
  <c r="AH29"/>
  <c r="AG25" i="2"/>
  <c r="L29" i="1"/>
  <c r="AH28"/>
  <c r="AG24" i="2"/>
  <c r="L28" i="1"/>
  <c r="L27"/>
  <c r="AH38"/>
  <c r="AH35"/>
  <c r="AG31" i="2"/>
  <c r="L38" i="1"/>
  <c r="L35"/>
  <c r="K31" i="2"/>
  <c r="F17" i="3"/>
  <c r="F40" s="1"/>
  <c r="F16"/>
  <c r="F38" s="1"/>
  <c r="E44" s="1"/>
  <c r="F15"/>
  <c r="E39"/>
  <c r="F37"/>
  <c r="E43"/>
  <c r="F14"/>
  <c r="E37" s="1"/>
  <c r="F8"/>
  <c r="F28"/>
  <c r="F7"/>
  <c r="F26"/>
  <c r="F6"/>
  <c r="F5"/>
  <c r="E25" s="1"/>
  <c r="L30" i="1"/>
  <c r="L31"/>
  <c r="L34"/>
  <c r="AH27"/>
  <c r="AG23" i="2"/>
  <c r="AH30" i="1"/>
  <c r="AH31"/>
  <c r="AG27" i="2"/>
  <c r="AH34" i="1"/>
  <c r="I17" i="3"/>
  <c r="Q17"/>
  <c r="U13"/>
  <c r="Q14"/>
  <c r="R13"/>
  <c r="Q16"/>
  <c r="L15"/>
  <c r="B18"/>
  <c r="N17"/>
  <c r="M16"/>
  <c r="M14"/>
  <c r="H5"/>
  <c r="I6"/>
  <c r="Q5"/>
  <c r="L5"/>
  <c r="B9"/>
  <c r="N7"/>
  <c r="W5"/>
  <c r="X4" s="1"/>
  <c r="H27" i="1"/>
  <c r="H28"/>
  <c r="H29"/>
  <c r="AW14"/>
  <c r="AW70"/>
  <c r="AV71" i="2"/>
  <c r="AI14" i="1"/>
  <c r="AI70"/>
  <c r="U14"/>
  <c r="AC11"/>
  <c r="AH71" i="2"/>
  <c r="X70" i="1"/>
  <c r="W71" i="2"/>
  <c r="AV10"/>
  <c r="AH10"/>
  <c r="W10"/>
  <c r="T10"/>
  <c r="G10"/>
  <c r="AB10"/>
  <c r="I89" i="1"/>
  <c r="H90" i="2"/>
  <c r="AE89" i="1"/>
  <c r="AD90" i="2"/>
  <c r="I93" i="1"/>
  <c r="H94" i="2"/>
  <c r="AE93" i="1"/>
  <c r="AD94" i="2"/>
  <c r="L98" i="1"/>
  <c r="K100" i="2"/>
  <c r="L99" i="1"/>
  <c r="K101" i="2"/>
  <c r="L100" i="1"/>
  <c r="K102" i="2"/>
  <c r="L101" i="1"/>
  <c r="K103" i="2"/>
  <c r="L102" i="1"/>
  <c r="K104" i="2" s="1"/>
  <c r="L103" i="1"/>
  <c r="K105" i="2" s="1"/>
  <c r="L104" i="1"/>
  <c r="K106" i="2"/>
  <c r="L105" i="1"/>
  <c r="K107" i="2"/>
  <c r="B2"/>
  <c r="B64"/>
  <c r="B3"/>
  <c r="B65"/>
  <c r="B4"/>
  <c r="B6"/>
  <c r="B69" s="1"/>
  <c r="B8"/>
  <c r="C14"/>
  <c r="AB14"/>
  <c r="C15"/>
  <c r="AB15"/>
  <c r="C16"/>
  <c r="AB16"/>
  <c r="C17"/>
  <c r="AB17"/>
  <c r="C18"/>
  <c r="AB18"/>
  <c r="BB23"/>
  <c r="BE23"/>
  <c r="K24"/>
  <c r="BB24"/>
  <c r="BE24"/>
  <c r="K25"/>
  <c r="BB25"/>
  <c r="BE25"/>
  <c r="K26"/>
  <c r="AG26"/>
  <c r="BB26"/>
  <c r="BE26"/>
  <c r="K27"/>
  <c r="BB27"/>
  <c r="BE27"/>
  <c r="K28"/>
  <c r="BB28"/>
  <c r="BE28"/>
  <c r="K29"/>
  <c r="BB29"/>
  <c r="BE29"/>
  <c r="K30"/>
  <c r="AG30"/>
  <c r="BB30"/>
  <c r="BE30"/>
  <c r="BB31"/>
  <c r="BE31"/>
  <c r="K32"/>
  <c r="BB32"/>
  <c r="BE32"/>
  <c r="K33"/>
  <c r="BB33"/>
  <c r="BE33"/>
  <c r="K34"/>
  <c r="AG34"/>
  <c r="BB34"/>
  <c r="BE34"/>
  <c r="B45"/>
  <c r="F45"/>
  <c r="B46"/>
  <c r="F46"/>
  <c r="B47"/>
  <c r="F47"/>
  <c r="B48"/>
  <c r="F48"/>
  <c r="B58"/>
  <c r="F58"/>
  <c r="B59"/>
  <c r="F59"/>
  <c r="B60"/>
  <c r="F60"/>
  <c r="B61"/>
  <c r="F61"/>
  <c r="AY74"/>
  <c r="BB74"/>
  <c r="BD74"/>
  <c r="AY78"/>
  <c r="BB78"/>
  <c r="BD78"/>
  <c r="AY82"/>
  <c r="BB82"/>
  <c r="BD82"/>
  <c r="AY86"/>
  <c r="BB86"/>
  <c r="BD86"/>
  <c r="AY90"/>
  <c r="BB90"/>
  <c r="BD90"/>
  <c r="AY94"/>
  <c r="BB94"/>
  <c r="BD94"/>
  <c r="O8" i="3"/>
  <c r="Q8"/>
  <c r="G7"/>
  <c r="F27"/>
  <c r="E33"/>
  <c r="T13"/>
  <c r="W16"/>
  <c r="Z13"/>
  <c r="E27"/>
  <c r="G6"/>
  <c r="Q6"/>
  <c r="L6"/>
  <c r="N6"/>
  <c r="I15"/>
  <c r="O15"/>
  <c r="G17"/>
  <c r="I14"/>
  <c r="H14"/>
  <c r="L14"/>
  <c r="O17"/>
  <c r="M17"/>
  <c r="N14"/>
  <c r="I8"/>
  <c r="H8"/>
  <c r="G5"/>
  <c r="L8"/>
  <c r="N8"/>
  <c r="O5"/>
  <c r="M5"/>
  <c r="AC14" i="1"/>
  <c r="AC70"/>
  <c r="AB71" i="2"/>
  <c r="U70" i="1"/>
  <c r="T71" i="2"/>
  <c r="E28" i="3"/>
  <c r="F24"/>
  <c r="E30" s="1"/>
  <c r="I7"/>
  <c r="H7"/>
  <c r="J7" s="1"/>
  <c r="AC7" s="1"/>
  <c r="Q7"/>
  <c r="W7"/>
  <c r="Z4" s="1"/>
  <c r="O7"/>
  <c r="M7"/>
  <c r="E40"/>
  <c r="F36"/>
  <c r="G16"/>
  <c r="L16"/>
  <c r="N16"/>
  <c r="K23" i="2"/>
  <c r="G23"/>
  <c r="N5" i="3"/>
  <c r="O6"/>
  <c r="M8"/>
  <c r="L7"/>
  <c r="H6"/>
  <c r="I5"/>
  <c r="G8"/>
  <c r="J8" s="1"/>
  <c r="AC8" s="1"/>
  <c r="O14"/>
  <c r="N15"/>
  <c r="O16"/>
  <c r="W17"/>
  <c r="AA13"/>
  <c r="L17"/>
  <c r="I16"/>
  <c r="G14"/>
  <c r="J14" s="1"/>
  <c r="AC14" s="1"/>
  <c r="H17"/>
  <c r="J17" s="1"/>
  <c r="AC17" s="1"/>
  <c r="F23"/>
  <c r="E26"/>
  <c r="F32" s="1"/>
  <c r="U4"/>
  <c r="W8"/>
  <c r="AA4" s="1"/>
  <c r="F46"/>
  <c r="H46" s="1"/>
  <c r="J5"/>
  <c r="T4"/>
  <c r="F34"/>
  <c r="W6"/>
  <c r="Y4"/>
  <c r="S4"/>
  <c r="F33"/>
  <c r="D33" s="1"/>
  <c r="G27"/>
  <c r="I27"/>
  <c r="D27"/>
  <c r="H27"/>
  <c r="E35"/>
  <c r="F41"/>
  <c r="D41" s="1"/>
  <c r="E36"/>
  <c r="F42"/>
  <c r="W14"/>
  <c r="X13"/>
  <c r="M6"/>
  <c r="H16"/>
  <c r="J16" s="1"/>
  <c r="F39"/>
  <c r="D36"/>
  <c r="E45"/>
  <c r="E23"/>
  <c r="H23" s="1"/>
  <c r="E24"/>
  <c r="E29"/>
  <c r="G29" s="1"/>
  <c r="E46"/>
  <c r="I40"/>
  <c r="G37"/>
  <c r="AC5"/>
  <c r="F25"/>
  <c r="E31"/>
  <c r="G24" i="2"/>
  <c r="G25"/>
  <c r="H30" i="1"/>
  <c r="F29" i="3"/>
  <c r="G23"/>
  <c r="H31" i="1"/>
  <c r="G26" i="2"/>
  <c r="I29" i="3"/>
  <c r="H32" i="1"/>
  <c r="G27" i="2"/>
  <c r="H33" i="1"/>
  <c r="G28" i="2"/>
  <c r="H34" i="1"/>
  <c r="G29" i="2"/>
  <c r="H35" i="1"/>
  <c r="G30" i="2"/>
  <c r="H36" i="1"/>
  <c r="G31" i="2"/>
  <c r="H37" i="1"/>
  <c r="G32" i="2"/>
  <c r="H38" i="1"/>
  <c r="G33" i="2"/>
  <c r="H14" i="1"/>
  <c r="E73"/>
  <c r="H70"/>
  <c r="G71" i="2"/>
  <c r="G34"/>
  <c r="D74"/>
  <c r="E77" i="1"/>
  <c r="D78" i="2"/>
  <c r="E81" i="1"/>
  <c r="E85"/>
  <c r="D82" i="2"/>
  <c r="E89" i="1"/>
  <c r="D86" i="2"/>
  <c r="E93" i="1"/>
  <c r="D94" i="2"/>
  <c r="D90"/>
  <c r="F45" i="3"/>
  <c r="G39"/>
  <c r="H39"/>
  <c r="I39"/>
  <c r="D39"/>
  <c r="D45"/>
  <c r="H40"/>
  <c r="H35"/>
  <c r="G15"/>
  <c r="E38"/>
  <c r="F35"/>
  <c r="Q15"/>
  <c r="M15"/>
  <c r="H15"/>
  <c r="I28"/>
  <c r="E34"/>
  <c r="G34" s="1"/>
  <c r="D28"/>
  <c r="G28"/>
  <c r="H28"/>
  <c r="G33"/>
  <c r="F31"/>
  <c r="I25"/>
  <c r="G25"/>
  <c r="E32"/>
  <c r="D26"/>
  <c r="D29"/>
  <c r="F30"/>
  <c r="G24"/>
  <c r="F44"/>
  <c r="I44" s="1"/>
  <c r="S13"/>
  <c r="E41"/>
  <c r="G35"/>
  <c r="D35"/>
  <c r="H45"/>
  <c r="G45"/>
  <c r="I45"/>
  <c r="I35"/>
  <c r="D34"/>
  <c r="D30"/>
  <c r="I30"/>
  <c r="I41"/>
  <c r="G44"/>
  <c r="J15" l="1"/>
  <c r="AC15" s="1"/>
  <c r="L18"/>
  <c r="D32"/>
  <c r="G32"/>
  <c r="H32"/>
  <c r="I32"/>
  <c r="G38"/>
  <c r="H38"/>
  <c r="I38"/>
  <c r="D31"/>
  <c r="G31"/>
  <c r="H31"/>
  <c r="K61" i="1"/>
  <c r="J57" i="2" s="1"/>
  <c r="W15" i="3"/>
  <c r="Y13" s="1"/>
  <c r="G46"/>
  <c r="I46"/>
  <c r="D46"/>
  <c r="I24"/>
  <c r="T5" s="1"/>
  <c r="D24"/>
  <c r="H24"/>
  <c r="D23"/>
  <c r="I23"/>
  <c r="D40"/>
  <c r="G40"/>
  <c r="I33"/>
  <c r="H33"/>
  <c r="R4"/>
  <c r="S5"/>
  <c r="D44"/>
  <c r="H44"/>
  <c r="I31"/>
  <c r="D38"/>
  <c r="G26"/>
  <c r="H29"/>
  <c r="BH62" i="1"/>
  <c r="BG58" i="2" s="1"/>
  <c r="BH65" i="1"/>
  <c r="BG61" i="2" s="1"/>
  <c r="BH63" i="1"/>
  <c r="BG59" i="2" s="1"/>
  <c r="AC16" i="3"/>
  <c r="AD15" s="1"/>
  <c r="AE15" s="1"/>
  <c r="AG15" s="1"/>
  <c r="I34"/>
  <c r="H34"/>
  <c r="H41"/>
  <c r="G41"/>
  <c r="I26"/>
  <c r="H26"/>
  <c r="E42"/>
  <c r="H36"/>
  <c r="G36"/>
  <c r="I36"/>
  <c r="T14" s="1"/>
  <c r="H30"/>
  <c r="G30"/>
  <c r="H25"/>
  <c r="D25"/>
  <c r="U5" s="1"/>
  <c r="H37"/>
  <c r="F43"/>
  <c r="D37"/>
  <c r="I37"/>
  <c r="L9"/>
  <c r="J6"/>
  <c r="AC6" s="1"/>
  <c r="AD17" l="1"/>
  <c r="AE17" s="1"/>
  <c r="AG17" s="1"/>
  <c r="K62" i="1"/>
  <c r="J58" i="2" s="1"/>
  <c r="BH64" i="1"/>
  <c r="BG60" i="2" s="1"/>
  <c r="AD16" i="3"/>
  <c r="AE16" s="1"/>
  <c r="AG16" s="1"/>
  <c r="AD14"/>
  <c r="R7"/>
  <c r="X7" s="1"/>
  <c r="R6"/>
  <c r="X6" s="1"/>
  <c r="R8"/>
  <c r="X8" s="1"/>
  <c r="U7"/>
  <c r="S8"/>
  <c r="S7"/>
  <c r="U16"/>
  <c r="T6"/>
  <c r="Z6" s="1"/>
  <c r="T15"/>
  <c r="U6"/>
  <c r="U14"/>
  <c r="T8"/>
  <c r="Z8" s="1"/>
  <c r="S14"/>
  <c r="R15"/>
  <c r="BH50" i="1"/>
  <c r="BG46" i="2" s="1"/>
  <c r="BH49" i="1"/>
  <c r="BG45" i="2" s="1"/>
  <c r="K49" i="1"/>
  <c r="J45" i="2" s="1"/>
  <c r="BH52" i="1"/>
  <c r="BG48" i="2" s="1"/>
  <c r="K48" i="1"/>
  <c r="J44" i="2" s="1"/>
  <c r="BH51" i="1"/>
  <c r="BG47" i="2" s="1"/>
  <c r="D42" i="3"/>
  <c r="G42"/>
  <c r="H42"/>
  <c r="I42"/>
  <c r="AD5"/>
  <c r="AD8"/>
  <c r="AE8" s="1"/>
  <c r="AG8" s="1"/>
  <c r="AH8" s="1"/>
  <c r="AD6"/>
  <c r="AE6" s="1"/>
  <c r="AG6" s="1"/>
  <c r="AH6" s="1"/>
  <c r="H43"/>
  <c r="D43"/>
  <c r="G43"/>
  <c r="I43"/>
  <c r="Y5"/>
  <c r="U15"/>
  <c r="AD7"/>
  <c r="AE7" s="1"/>
  <c r="AG7" s="1"/>
  <c r="Z5" l="1"/>
  <c r="AA6"/>
  <c r="R16"/>
  <c r="Z14" s="1"/>
  <c r="Y14"/>
  <c r="AK4"/>
  <c r="AE5"/>
  <c r="AG5" s="1"/>
  <c r="AD9"/>
  <c r="X15"/>
  <c r="S17"/>
  <c r="Y17" s="1"/>
  <c r="Y7"/>
  <c r="AA7"/>
  <c r="AH7" s="1"/>
  <c r="AA5"/>
  <c r="AK13"/>
  <c r="AE14"/>
  <c r="AG14" s="1"/>
  <c r="AH14" s="1"/>
  <c r="AD18"/>
  <c r="S16"/>
  <c r="Y16" s="1"/>
  <c r="T17"/>
  <c r="Z17" s="1"/>
  <c r="R17"/>
  <c r="X17" s="1"/>
  <c r="AH17" s="1"/>
  <c r="Y8"/>
  <c r="X16" l="1"/>
  <c r="AA15"/>
  <c r="AH5"/>
  <c r="AI17"/>
  <c r="AI14"/>
  <c r="AO16"/>
  <c r="AO17"/>
  <c r="AO15"/>
  <c r="AO14"/>
  <c r="AQ13"/>
  <c r="AI7"/>
  <c r="AO5"/>
  <c r="AO6"/>
  <c r="AO7"/>
  <c r="AI8"/>
  <c r="AO8"/>
  <c r="AI5"/>
  <c r="AI6"/>
  <c r="AQ4"/>
  <c r="Z15"/>
  <c r="AH15" s="1"/>
  <c r="AI15" s="1"/>
  <c r="AA14"/>
  <c r="AA16"/>
  <c r="AH16" s="1"/>
  <c r="AI16" s="1"/>
  <c r="K5" l="1"/>
  <c r="K6"/>
  <c r="AR5"/>
  <c r="AT8"/>
  <c r="AR6"/>
  <c r="AT6"/>
  <c r="AS7"/>
  <c r="AS5"/>
  <c r="AS6"/>
  <c r="AR8"/>
  <c r="AT5"/>
  <c r="AT7"/>
  <c r="AS8"/>
  <c r="AV4"/>
  <c r="AR7"/>
  <c r="AR15"/>
  <c r="AV13"/>
  <c r="AT14"/>
  <c r="AR14"/>
  <c r="AS17"/>
  <c r="AT16"/>
  <c r="AR17"/>
  <c r="AT15"/>
  <c r="AR16"/>
  <c r="AT17"/>
  <c r="AS15"/>
  <c r="AS16"/>
  <c r="AS14"/>
  <c r="K8"/>
  <c r="K7"/>
  <c r="K16"/>
  <c r="K17"/>
  <c r="K14"/>
  <c r="K15"/>
  <c r="E6" l="1"/>
  <c r="D6" s="1"/>
  <c r="E15"/>
  <c r="D15" s="1"/>
  <c r="E8"/>
  <c r="D8" s="1"/>
  <c r="AY15"/>
  <c r="AN15" s="1"/>
  <c r="AY14"/>
  <c r="AN14" s="1"/>
  <c r="AY17"/>
  <c r="AN17" s="1"/>
  <c r="AW14"/>
  <c r="AX14"/>
  <c r="AM14" s="1"/>
  <c r="AY16"/>
  <c r="AN16" s="1"/>
  <c r="AX16"/>
  <c r="AM16" s="1"/>
  <c r="AW16"/>
  <c r="AL16" s="1"/>
  <c r="AW15"/>
  <c r="AL15" s="1"/>
  <c r="AX15"/>
  <c r="AM15" s="1"/>
  <c r="AW17"/>
  <c r="AL17" s="1"/>
  <c r="AX17"/>
  <c r="AM17" s="1"/>
  <c r="E16"/>
  <c r="D16" s="1"/>
  <c r="E14"/>
  <c r="E17"/>
  <c r="D17" s="1"/>
  <c r="E7"/>
  <c r="D7" s="1"/>
  <c r="E5"/>
  <c r="AL14"/>
  <c r="AY8"/>
  <c r="AN8" s="1"/>
  <c r="AW7"/>
  <c r="AL7" s="1"/>
  <c r="AX5"/>
  <c r="AM5" s="1"/>
  <c r="AY5"/>
  <c r="AN5" s="1"/>
  <c r="AX6"/>
  <c r="AM6" s="1"/>
  <c r="AY7"/>
  <c r="AN7" s="1"/>
  <c r="AW5"/>
  <c r="AL5" s="1"/>
  <c r="AW6"/>
  <c r="AL6" s="1"/>
  <c r="AX7"/>
  <c r="AM7" s="1"/>
  <c r="AY6"/>
  <c r="AN6" s="1"/>
  <c r="AX8"/>
  <c r="AM8" s="1"/>
  <c r="AW8"/>
  <c r="AL8" s="1"/>
  <c r="D14" l="1"/>
  <c r="C16" s="1"/>
  <c r="E21"/>
  <c r="E18"/>
  <c r="E19"/>
  <c r="E20"/>
  <c r="E12"/>
  <c r="D5"/>
  <c r="E10"/>
  <c r="E11"/>
  <c r="E9"/>
  <c r="C17"/>
  <c r="C14" l="1"/>
  <c r="C15"/>
  <c r="C5"/>
  <c r="C8"/>
  <c r="C6"/>
  <c r="C7"/>
  <c r="AW62" i="1" l="1"/>
  <c r="AV58" i="2" s="1"/>
  <c r="BN63" i="1"/>
  <c r="BM59" i="2" s="1"/>
  <c r="M63" i="1"/>
  <c r="BI64"/>
  <c r="BH60" i="2" s="1"/>
  <c r="K63" i="1"/>
  <c r="J59" i="2" s="1"/>
  <c r="BC64" i="1"/>
  <c r="BB60" i="2" s="1"/>
  <c r="BF65" i="1"/>
  <c r="BC62"/>
  <c r="BB58" i="2" s="1"/>
  <c r="AW63" i="1"/>
  <c r="AV59" i="2" s="1"/>
  <c r="BI65" i="1"/>
  <c r="BH61" i="2" s="1"/>
  <c r="BF64" i="1"/>
  <c r="BF63"/>
  <c r="M62"/>
  <c r="BI62"/>
  <c r="BH58" i="2" s="1"/>
  <c r="AT62" i="1"/>
  <c r="BN64"/>
  <c r="BM60" i="2" s="1"/>
  <c r="BC63" i="1"/>
  <c r="BB59" i="2" s="1"/>
  <c r="BI63" i="1"/>
  <c r="BH59" i="2" s="1"/>
  <c r="AZ63" i="1"/>
  <c r="AY59" i="2" s="1"/>
  <c r="BN62" i="1"/>
  <c r="BM58" i="2" s="1"/>
  <c r="AZ64" i="1"/>
  <c r="AY60" i="2" s="1"/>
  <c r="BN65" i="1"/>
  <c r="BM61" i="2" s="1"/>
  <c r="K64" i="1"/>
  <c r="J60" i="2" s="1"/>
  <c r="AT64" i="1"/>
  <c r="AS60" i="2" s="1"/>
  <c r="AT63" i="1"/>
  <c r="AS59" i="2" s="1"/>
  <c r="AZ62" i="1"/>
  <c r="AY58" i="2" s="1"/>
  <c r="AZ65" i="1"/>
  <c r="AY61" i="2" s="1"/>
  <c r="AT65" i="1"/>
  <c r="AS61" i="2" s="1"/>
  <c r="M64" i="1"/>
  <c r="BC65"/>
  <c r="BB61" i="2" s="1"/>
  <c r="BF62" i="1"/>
  <c r="M65"/>
  <c r="AW65"/>
  <c r="AV61" i="2" s="1"/>
  <c r="AW64" i="1"/>
  <c r="AV60" i="2" s="1"/>
  <c r="AW52" i="1"/>
  <c r="AV48" i="2" s="1"/>
  <c r="BN50" i="1"/>
  <c r="BM46" i="2" s="1"/>
  <c r="BC49" i="1"/>
  <c r="BB45" i="2" s="1"/>
  <c r="BN52" i="1"/>
  <c r="BM48" i="2" s="1"/>
  <c r="AT49" i="1"/>
  <c r="AW50"/>
  <c r="AV46" i="2" s="1"/>
  <c r="AT50" i="1"/>
  <c r="AS46" i="2" s="1"/>
  <c r="AW51" i="1"/>
  <c r="AV47" i="2" s="1"/>
  <c r="BI49" i="1"/>
  <c r="BH45" i="2" s="1"/>
  <c r="M49" i="1"/>
  <c r="BC50"/>
  <c r="BB46" i="2" s="1"/>
  <c r="AT52" i="1"/>
  <c r="AS48" i="2" s="1"/>
  <c r="AT51" i="1"/>
  <c r="AS47" i="2" s="1"/>
  <c r="BN49" i="1"/>
  <c r="BM45" i="2" s="1"/>
  <c r="BF52" i="1"/>
  <c r="M50"/>
  <c r="K50"/>
  <c r="J46" i="2" s="1"/>
  <c r="BF50" i="1"/>
  <c r="BI50"/>
  <c r="BH46" i="2" s="1"/>
  <c r="AZ52" i="1"/>
  <c r="AY48" i="2" s="1"/>
  <c r="BC51" i="1"/>
  <c r="BB47" i="2" s="1"/>
  <c r="M52" i="1"/>
  <c r="BI52"/>
  <c r="BH48" i="2" s="1"/>
  <c r="BF49" i="1"/>
  <c r="BC52"/>
  <c r="BB48" i="2" s="1"/>
  <c r="BN51" i="1"/>
  <c r="BM47" i="2" s="1"/>
  <c r="M51" i="1"/>
  <c r="AZ50"/>
  <c r="AY46" i="2" s="1"/>
  <c r="BF51" i="1"/>
  <c r="AW49"/>
  <c r="AV45" i="2" s="1"/>
  <c r="BI51" i="1"/>
  <c r="BH47" i="2" s="1"/>
  <c r="AZ51" i="1"/>
  <c r="AY47" i="2" s="1"/>
  <c r="AZ49" i="1"/>
  <c r="AY45" i="2" s="1"/>
  <c r="AQ54" i="1" l="1"/>
  <c r="AQ64" s="1"/>
  <c r="AP60" i="2" s="1"/>
  <c r="L61"/>
  <c r="AP50" s="1"/>
  <c r="BE59"/>
  <c r="BK63" i="1"/>
  <c r="BJ59" i="2" s="1"/>
  <c r="K65" i="1"/>
  <c r="J61" i="2" s="1"/>
  <c r="BE58"/>
  <c r="BK62" i="1"/>
  <c r="BJ58" i="2" s="1"/>
  <c r="L60"/>
  <c r="AM50" s="1"/>
  <c r="AN54" i="1"/>
  <c r="AN65" s="1"/>
  <c r="AM61" i="2" s="1"/>
  <c r="AS58"/>
  <c r="AE85" i="1"/>
  <c r="AD86" i="2" s="1"/>
  <c r="AE81" i="1"/>
  <c r="AD82" i="2" s="1"/>
  <c r="AE73" i="1"/>
  <c r="AD74" i="2" s="1"/>
  <c r="I77" i="1"/>
  <c r="H78" i="2" s="1"/>
  <c r="L58"/>
  <c r="AG50" s="1"/>
  <c r="AH54" i="1"/>
  <c r="AH65" s="1"/>
  <c r="AG61" i="2" s="1"/>
  <c r="AQ62" i="1"/>
  <c r="AP58" i="2" s="1"/>
  <c r="BE60"/>
  <c r="BK64" i="1"/>
  <c r="BJ60" i="2" s="1"/>
  <c r="BE61"/>
  <c r="BK65" i="1"/>
  <c r="BJ61" i="2" s="1"/>
  <c r="AK54" i="1"/>
  <c r="AK65" s="1"/>
  <c r="AJ61" i="2" s="1"/>
  <c r="L59"/>
  <c r="AJ50" s="1"/>
  <c r="BE45"/>
  <c r="BK49" i="1"/>
  <c r="BJ45" i="2" s="1"/>
  <c r="L46"/>
  <c r="AJ37" s="1"/>
  <c r="AK41" i="1"/>
  <c r="AK51" s="1"/>
  <c r="AJ47" i="2" s="1"/>
  <c r="BE47"/>
  <c r="BK51" i="1"/>
  <c r="BJ47" i="2" s="1"/>
  <c r="L47"/>
  <c r="AM37" s="1"/>
  <c r="AN41" i="1"/>
  <c r="AN50" s="1"/>
  <c r="AM46" i="2" s="1"/>
  <c r="BE48"/>
  <c r="BK52" i="1"/>
  <c r="BJ48" i="2" s="1"/>
  <c r="K51" i="1"/>
  <c r="AN52"/>
  <c r="AM48" i="2" s="1"/>
  <c r="L48"/>
  <c r="AP37" s="1"/>
  <c r="AQ41" i="1"/>
  <c r="AQ51" s="1"/>
  <c r="AP47" i="2" s="1"/>
  <c r="BE46"/>
  <c r="BK50" i="1"/>
  <c r="BJ46" i="2" s="1"/>
  <c r="L45"/>
  <c r="AG37" s="1"/>
  <c r="AH41" i="1"/>
  <c r="AH50" s="1"/>
  <c r="AG46" i="2" s="1"/>
  <c r="AS45"/>
  <c r="AE77" i="1"/>
  <c r="AD78" i="2" s="1"/>
  <c r="I73" i="1"/>
  <c r="H74" i="2" s="1"/>
  <c r="I81" i="1"/>
  <c r="H82" i="2" s="1"/>
  <c r="I85" i="1"/>
  <c r="H86" i="2" s="1"/>
  <c r="AN63" i="1" l="1"/>
  <c r="AM59" i="2" s="1"/>
  <c r="AQ63" i="1"/>
  <c r="AP59" i="2" s="1"/>
  <c r="AH63" i="1"/>
  <c r="AG59" i="2" s="1"/>
  <c r="AN62" i="1"/>
  <c r="AM58" i="2" s="1"/>
  <c r="AK49" i="1"/>
  <c r="AJ45" i="2" s="1"/>
  <c r="AQ49" i="1"/>
  <c r="AP45" i="2" s="1"/>
  <c r="AK52" i="1"/>
  <c r="AJ48" i="2" s="1"/>
  <c r="AK62" i="1"/>
  <c r="AJ58" i="2" s="1"/>
  <c r="AH64" i="1"/>
  <c r="AG60" i="2" s="1"/>
  <c r="AK64" i="1"/>
  <c r="AJ60" i="2" s="1"/>
  <c r="AN49" i="1"/>
  <c r="AM45" i="2" s="1"/>
  <c r="AH52" i="1"/>
  <c r="AG48" i="2" s="1"/>
  <c r="AH51" i="1"/>
  <c r="AG47" i="2" s="1"/>
  <c r="J47"/>
  <c r="K52" i="1"/>
  <c r="J48" i="2" s="1"/>
  <c r="AQ50" i="1"/>
  <c r="AP46" i="2" s="1"/>
</calcChain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1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<sst xmlns="http://schemas.openxmlformats.org/spreadsheetml/2006/main" count="294" uniqueCount="90">
  <si>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</si>
  <si>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</si>
  <si>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</si>
  <si>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</si>
  <si>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</si>
  <si>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</si>
  <si>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</si>
  <si>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</si>
  <si>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</si>
  <si>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</si>
  <si>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</si>
  <si>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</si>
  <si>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</si>
  <si>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</si>
  <si>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</si>
  <si>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</si>
  <si>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</si>
  <si>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</si>
  <si>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</si>
  <si>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</si>
  <si>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</si>
  <si>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</si>
  <si>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</si>
  <si>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</si>
  <si>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</si>
  <si>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</si>
  <si>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</si>
  <si>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</si>
  <si>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</si>
  <si>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</si>
  <si>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</si>
  <si>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</si>
  <si>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</si>
  <si>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</si>
  <si>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</si>
  <si>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</si>
  <si>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</si>
  <si>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</si>
  <si>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</si>
  <si>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</si>
  <si>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</si>
  <si>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</si>
  <si>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</si>
  <si>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</si>
  <si>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</si>
  <si>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</si>
  <si>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</si>
  <si>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</si>
  <si>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</si>
  <si>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</si>
  <si>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</si>
  <si>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</si>
  <si>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</si>
  <si>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</si>
  <si>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</si>
  <si>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</si>
  <si>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</si>
  <si>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</si>
  <si>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</si>
  <si>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</si>
  <si>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</si>
  <si>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</si>
  <si>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</si>
  <si>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</si>
  <si>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</si>
  <si>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</si>
  <si>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</si>
  <si>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</rPr>
      <t>Anzahl Punkte aus allen Gruppenspielen</t>
    </r>
  </si>
  <si>
    <r>
      <t xml:space="preserve">b) </t>
    </r>
    <r>
      <rPr>
        <sz val="10"/>
        <color indexed="8"/>
        <rFont val="Arial"/>
      </rPr>
      <t>Tordifferenz aus allen Gruppenspielen</t>
    </r>
  </si>
  <si>
    <r>
      <t xml:space="preserve">c) </t>
    </r>
    <r>
      <rPr>
        <sz val="10"/>
        <color indexed="8"/>
        <rFont val="Arial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</si>
  <si>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</si>
  <si>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</si>
  <si>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</si>
  <si>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</si>
  <si>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</rPr>
      <t xml:space="preserve"> Losentscheid durch die Turnierleitung</t>
    </r>
  </si>
  <si>
    <t>s</t>
  </si>
  <si>
    <t>Gleichstand liegt vor</t>
  </si>
  <si>
    <t>Tore +</t>
  </si>
  <si>
    <t>Tabellen Vorrunde</t>
  </si>
  <si>
    <t>FC Lindau 1</t>
  </si>
  <si>
    <t>FC Lindau 2</t>
  </si>
  <si>
    <t>SV Höckelheim</t>
  </si>
  <si>
    <t>TSV Elvershausen</t>
  </si>
  <si>
    <t>FC Lindau-Harz von 1921</t>
  </si>
  <si>
    <t>SG Rhume</t>
  </si>
  <si>
    <t>FC Höherberg</t>
  </si>
  <si>
    <t>SV BW Bilshausen</t>
  </si>
  <si>
    <t>12 Hallenturnier/Herren in Lindau</t>
  </si>
  <si>
    <t>SG Rollshausen/Obernfeld</t>
  </si>
  <si>
    <t>in Lindau/Schulsporthalle</t>
  </si>
</sst>
</file>

<file path=xl/styles.xml><?xml version="1.0" encoding="utf-8"?>
<styleSheet xmlns="http://schemas.openxmlformats.org/spreadsheetml/2006/main">
  <numFmts count="11">
    <numFmt numFmtId="164" formatCode="h:mm;@"/>
    <numFmt numFmtId="165" formatCode="0_ ;[Red]\-0\ "/>
    <numFmt numFmtId="166" formatCode="0&quot;.&quot;"/>
    <numFmt numFmtId="167" formatCode="0\ &quot;:&quot;"/>
    <numFmt numFmtId="168" formatCode=";;;"/>
    <numFmt numFmtId="169" formatCode="0\ &quot;min&quot;"/>
    <numFmt numFmtId="170" formatCode="0;;\ &quot;min&quot;"/>
    <numFmt numFmtId="171" formatCode="&quot;Am&quot;\ dddd\,\ dd/\ mmmm\ yyyy"/>
    <numFmt numFmtId="172" formatCode="[=0]&quot;&quot;;0\ &quot;min&quot;"/>
    <numFmt numFmtId="173" formatCode="0.0"/>
    <numFmt numFmtId="174" formatCode="0.00000"/>
  </numFmts>
  <fonts count="45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sz val="10"/>
      <color indexed="9"/>
      <name val="Arial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</font>
    <font>
      <sz val="12"/>
      <color indexed="10"/>
      <name val="Arial"/>
    </font>
    <font>
      <sz val="12"/>
      <color indexed="9"/>
      <name val="Arial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</font>
    <font>
      <sz val="11"/>
      <name val="Arial"/>
    </font>
    <font>
      <sz val="11"/>
      <color indexed="10"/>
      <name val="Arial"/>
    </font>
    <font>
      <sz val="11"/>
      <color indexed="9"/>
      <name val="Arial"/>
    </font>
    <font>
      <b/>
      <sz val="11"/>
      <color indexed="8"/>
      <name val="Arial"/>
    </font>
    <font>
      <b/>
      <sz val="11"/>
      <color indexed="9"/>
      <name val="Arial"/>
    </font>
    <font>
      <b/>
      <sz val="11"/>
      <color indexed="10"/>
      <name val="Arial"/>
    </font>
    <font>
      <b/>
      <u/>
      <sz val="11"/>
      <name val="Arial"/>
    </font>
    <font>
      <sz val="12"/>
      <name val="Arial"/>
      <family val="2"/>
    </font>
    <font>
      <sz val="11"/>
      <color indexed="23"/>
      <name val="Arial"/>
    </font>
    <font>
      <sz val="11"/>
      <color indexed="63"/>
      <name val="Arial"/>
    </font>
    <font>
      <b/>
      <sz val="14"/>
      <name val="Arial"/>
      <family val="2"/>
    </font>
    <font>
      <sz val="10"/>
      <color indexed="8"/>
      <name val="Arial"/>
    </font>
    <font>
      <sz val="9"/>
      <color indexed="8"/>
      <name val="Arial"/>
    </font>
    <font>
      <b/>
      <sz val="11"/>
      <color indexed="8"/>
      <name val="Arial"/>
      <family val="2"/>
    </font>
    <font>
      <sz val="9"/>
      <color indexed="81"/>
      <name val="Arial"/>
      <family val="2"/>
    </font>
    <font>
      <sz val="11"/>
      <color indexed="22"/>
      <name val="Comic Sans MS"/>
      <family val="4"/>
    </font>
    <font>
      <b/>
      <u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8"/>
      <name val="Arial"/>
      <family val="2"/>
    </font>
    <font>
      <sz val="12"/>
      <color indexed="63"/>
      <name val="Arial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</font>
    <font>
      <b/>
      <sz val="10"/>
      <name val="Arial"/>
      <family val="2"/>
    </font>
    <font>
      <b/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2" borderId="0"/>
  </cellStyleXfs>
  <cellXfs count="64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71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70" fontId="16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8" fillId="0" borderId="0" xfId="0" applyNumberFormat="1" applyFont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NumberFormat="1" applyFont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Alignment="1" applyProtection="1">
      <alignment vertical="center"/>
      <protection hidden="1"/>
    </xf>
    <xf numFmtId="0" fontId="28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0" fontId="14" fillId="0" borderId="0" xfId="0" applyNumberFormat="1" applyFont="1" applyAlignment="1" applyProtection="1">
      <alignment vertical="center"/>
      <protection hidden="1"/>
    </xf>
    <xf numFmtId="170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68" fontId="10" fillId="0" borderId="0" xfId="0" applyNumberFormat="1" applyFont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24" fillId="0" borderId="1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6" fontId="24" fillId="0" borderId="0" xfId="0" applyNumberFormat="1" applyFont="1" applyBorder="1" applyAlignment="1" applyProtection="1">
      <alignment horizontal="center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1" fontId="24" fillId="0" borderId="0" xfId="0" applyNumberFormat="1" applyFont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6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71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170" fontId="38" fillId="0" borderId="0" xfId="0" applyNumberFormat="1" applyFont="1" applyAlignment="1" applyProtection="1">
      <alignment vertical="center"/>
      <protection hidden="1"/>
    </xf>
    <xf numFmtId="170" fontId="39" fillId="0" borderId="0" xfId="0" applyNumberFormat="1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6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8" fontId="17" fillId="0" borderId="0" xfId="0" applyNumberFormat="1" applyFont="1" applyAlignment="1" applyProtection="1">
      <alignment vertical="center"/>
      <protection hidden="1"/>
    </xf>
    <xf numFmtId="0" fontId="16" fillId="0" borderId="1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7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horizontal="left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justify" vertical="center"/>
      <protection hidden="1"/>
    </xf>
    <xf numFmtId="0" fontId="28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6" xfId="1" applyFont="1" applyFill="1" applyBorder="1" applyAlignment="1" applyProtection="1">
      <alignment horizontal="center" vertical="center"/>
    </xf>
    <xf numFmtId="0" fontId="44" fillId="0" borderId="6" xfId="1" applyFont="1" applyFill="1" applyBorder="1" applyAlignment="1" applyProtection="1">
      <alignment horizontal="center" textRotation="90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0" xfId="1" applyFont="1" applyFill="1" applyBorder="1" applyAlignment="1" applyProtection="1">
      <alignment horizontal="center" textRotation="90"/>
    </xf>
    <xf numFmtId="0" fontId="44" fillId="0" borderId="0" xfId="1" applyFont="1" applyFill="1" applyBorder="1" applyProtection="1"/>
    <xf numFmtId="0" fontId="44" fillId="0" borderId="0" xfId="1" applyFont="1" applyFill="1" applyBorder="1" applyAlignment="1" applyProtection="1"/>
    <xf numFmtId="0" fontId="44" fillId="0" borderId="6" xfId="1" applyFont="1" applyFill="1" applyBorder="1" applyProtection="1"/>
    <xf numFmtId="0" fontId="0" fillId="0" borderId="0" xfId="0" applyFill="1" applyAlignment="1" applyProtection="1">
      <alignment vertical="center"/>
      <protection hidden="1"/>
    </xf>
    <xf numFmtId="0" fontId="44" fillId="0" borderId="0" xfId="1" applyFont="1" applyFill="1" applyProtection="1"/>
    <xf numFmtId="0" fontId="0" fillId="0" borderId="6" xfId="0" applyBorder="1"/>
    <xf numFmtId="0" fontId="44" fillId="0" borderId="7" xfId="1" applyFont="1" applyFill="1" applyBorder="1" applyAlignment="1" applyProtection="1">
      <alignment horizontal="left"/>
    </xf>
    <xf numFmtId="0" fontId="44" fillId="3" borderId="6" xfId="1" applyFont="1" applyFill="1" applyBorder="1" applyAlignment="1" applyProtection="1">
      <alignment horizontal="center"/>
    </xf>
    <xf numFmtId="0" fontId="44" fillId="0" borderId="6" xfId="1" applyFont="1" applyFill="1" applyBorder="1" applyAlignment="1" applyProtection="1">
      <alignment horizontal="center"/>
    </xf>
    <xf numFmtId="0" fontId="44" fillId="0" borderId="7" xfId="1" applyFont="1" applyFill="1" applyBorder="1" applyProtection="1"/>
    <xf numFmtId="0" fontId="44" fillId="0" borderId="6" xfId="1" applyFont="1" applyFill="1" applyBorder="1" applyAlignment="1" applyProtection="1"/>
    <xf numFmtId="173" fontId="44" fillId="0" borderId="6" xfId="1" applyNumberFormat="1" applyFont="1" applyFill="1" applyBorder="1" applyProtection="1"/>
    <xf numFmtId="0" fontId="44" fillId="0" borderId="0" xfId="1" applyFont="1" applyFill="1" applyBorder="1" applyAlignment="1" applyProtection="1">
      <alignment horizontal="center"/>
    </xf>
    <xf numFmtId="174" fontId="44" fillId="0" borderId="6" xfId="1" applyNumberFormat="1" applyFont="1" applyFill="1" applyBorder="1" applyProtection="1"/>
    <xf numFmtId="1" fontId="44" fillId="0" borderId="0" xfId="1" applyNumberFormat="1" applyFont="1" applyFill="1" applyBorder="1" applyProtection="1"/>
    <xf numFmtId="0" fontId="44" fillId="0" borderId="8" xfId="1" applyFont="1" applyFill="1" applyBorder="1" applyAlignment="1" applyProtection="1">
      <alignment horizontal="left"/>
    </xf>
    <xf numFmtId="0" fontId="44" fillId="0" borderId="8" xfId="1" applyFont="1" applyFill="1" applyBorder="1" applyProtection="1"/>
    <xf numFmtId="0" fontId="44" fillId="0" borderId="8" xfId="1" applyFont="1" applyFill="1" applyBorder="1" applyAlignment="1" applyProtection="1">
      <alignment horizontal="right"/>
    </xf>
    <xf numFmtId="0" fontId="44" fillId="0" borderId="6" xfId="1" applyFont="1" applyFill="1" applyBorder="1" applyAlignment="1" applyProtection="1">
      <alignment horizontal="left"/>
    </xf>
    <xf numFmtId="0" fontId="44" fillId="0" borderId="9" xfId="1" applyFont="1" applyFill="1" applyBorder="1" applyAlignment="1" applyProtection="1">
      <alignment horizontal="left"/>
    </xf>
    <xf numFmtId="0" fontId="44" fillId="0" borderId="9" xfId="1" applyFont="1" applyFill="1" applyBorder="1" applyProtection="1"/>
    <xf numFmtId="0" fontId="44" fillId="0" borderId="10" xfId="1" applyFont="1" applyFill="1" applyBorder="1" applyAlignment="1" applyProtection="1">
      <alignment horizontal="right"/>
    </xf>
    <xf numFmtId="0" fontId="44" fillId="0" borderId="6" xfId="0" applyFont="1" applyFill="1" applyBorder="1" applyAlignment="1" applyProtection="1">
      <protection hidden="1"/>
    </xf>
    <xf numFmtId="0" fontId="44" fillId="0" borderId="0" xfId="1" applyFont="1" applyFill="1" applyAlignment="1" applyProtection="1">
      <alignment textRotation="90"/>
    </xf>
    <xf numFmtId="174" fontId="29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locked="0"/>
    </xf>
    <xf numFmtId="172" fontId="13" fillId="0" borderId="0" xfId="0" applyNumberFormat="1" applyFont="1" applyBorder="1" applyAlignment="1" applyProtection="1">
      <alignment horizontal="left" vertical="center"/>
      <protection locked="0"/>
    </xf>
    <xf numFmtId="2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6" fillId="2" borderId="18" xfId="0" applyFont="1" applyFill="1" applyBorder="1" applyAlignment="1" applyProtection="1">
      <alignment horizontal="center" vertical="center"/>
      <protection hidden="1"/>
    </xf>
    <xf numFmtId="0" fontId="16" fillId="2" borderId="19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167" fontId="17" fillId="0" borderId="21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3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22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6" fillId="2" borderId="24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 shrinkToFit="1"/>
      <protection hidden="1"/>
    </xf>
    <xf numFmtId="0" fontId="16" fillId="4" borderId="19" xfId="0" applyFont="1" applyFill="1" applyBorder="1" applyAlignment="1" applyProtection="1">
      <alignment horizontal="center" vertical="center" shrinkToFit="1"/>
      <protection hidden="1"/>
    </xf>
    <xf numFmtId="0" fontId="16" fillId="4" borderId="20" xfId="0" applyFont="1" applyFill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left" vertical="center" shrinkToFit="1"/>
      <protection hidden="1"/>
    </xf>
    <xf numFmtId="0" fontId="17" fillId="0" borderId="26" xfId="0" applyFont="1" applyBorder="1" applyAlignment="1" applyProtection="1">
      <alignment horizontal="left" vertical="center" shrinkToFit="1"/>
      <protection hidden="1"/>
    </xf>
    <xf numFmtId="0" fontId="17" fillId="0" borderId="27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left" vertical="center" shrinkToFit="1"/>
      <protection hidden="1"/>
    </xf>
    <xf numFmtId="0" fontId="17" fillId="0" borderId="30" xfId="0" applyFont="1" applyBorder="1" applyAlignment="1" applyProtection="1">
      <alignment horizontal="left" vertical="center" shrinkToFit="1"/>
      <protection hidden="1"/>
    </xf>
    <xf numFmtId="166" fontId="17" fillId="0" borderId="14" xfId="0" applyNumberFormat="1" applyFont="1" applyBorder="1" applyAlignment="1" applyProtection="1">
      <alignment horizontal="center" vertical="center" shrinkToFit="1"/>
      <protection hidden="1"/>
    </xf>
    <xf numFmtId="166" fontId="17" fillId="0" borderId="2" xfId="0" applyNumberFormat="1" applyFont="1" applyBorder="1" applyAlignment="1" applyProtection="1">
      <alignment horizontal="center" vertical="center" shrinkToFit="1"/>
      <protection hidden="1"/>
    </xf>
    <xf numFmtId="0" fontId="13" fillId="4" borderId="31" xfId="0" applyFont="1" applyFill="1" applyBorder="1" applyAlignment="1" applyProtection="1">
      <alignment horizontal="center" textRotation="90"/>
      <protection hidden="1"/>
    </xf>
    <xf numFmtId="0" fontId="13" fillId="4" borderId="32" xfId="0" applyFont="1" applyFill="1" applyBorder="1" applyAlignment="1" applyProtection="1">
      <alignment horizontal="center" textRotation="90"/>
      <protection hidden="1"/>
    </xf>
    <xf numFmtId="0" fontId="13" fillId="4" borderId="33" xfId="0" applyFont="1" applyFill="1" applyBorder="1" applyAlignment="1" applyProtection="1">
      <alignment horizontal="center" textRotation="90"/>
      <protection hidden="1"/>
    </xf>
    <xf numFmtId="0" fontId="13" fillId="4" borderId="1" xfId="0" applyFont="1" applyFill="1" applyBorder="1" applyAlignment="1" applyProtection="1">
      <alignment horizontal="center" textRotation="90"/>
      <protection hidden="1"/>
    </xf>
    <xf numFmtId="0" fontId="13" fillId="4" borderId="0" xfId="0" applyFont="1" applyFill="1" applyBorder="1" applyAlignment="1" applyProtection="1">
      <alignment horizontal="center" textRotation="90"/>
      <protection hidden="1"/>
    </xf>
    <xf numFmtId="0" fontId="13" fillId="4" borderId="34" xfId="0" applyFont="1" applyFill="1" applyBorder="1" applyAlignment="1" applyProtection="1">
      <alignment horizontal="center" textRotation="90"/>
      <protection hidden="1"/>
    </xf>
    <xf numFmtId="0" fontId="13" fillId="4" borderId="35" xfId="0" applyFont="1" applyFill="1" applyBorder="1" applyAlignment="1" applyProtection="1">
      <alignment horizontal="center" textRotation="90"/>
      <protection hidden="1"/>
    </xf>
    <xf numFmtId="0" fontId="13" fillId="4" borderId="5" xfId="0" applyFont="1" applyFill="1" applyBorder="1" applyAlignment="1" applyProtection="1">
      <alignment horizontal="center" textRotation="90"/>
      <protection hidden="1"/>
    </xf>
    <xf numFmtId="0" fontId="13" fillId="4" borderId="36" xfId="0" applyFont="1" applyFill="1" applyBorder="1" applyAlignment="1" applyProtection="1">
      <alignment horizontal="center" textRotation="90"/>
      <protection hidden="1"/>
    </xf>
    <xf numFmtId="0" fontId="13" fillId="5" borderId="37" xfId="0" applyFont="1" applyFill="1" applyBorder="1" applyAlignment="1" applyProtection="1">
      <alignment horizontal="center" textRotation="90" shrinkToFit="1"/>
      <protection hidden="1"/>
    </xf>
    <xf numFmtId="0" fontId="13" fillId="5" borderId="38" xfId="0" applyFont="1" applyFill="1" applyBorder="1" applyAlignment="1" applyProtection="1">
      <alignment horizontal="center" textRotation="90" shrinkToFit="1"/>
      <protection hidden="1"/>
    </xf>
    <xf numFmtId="0" fontId="13" fillId="5" borderId="8" xfId="0" applyFont="1" applyFill="1" applyBorder="1" applyAlignment="1" applyProtection="1">
      <alignment horizontal="center" textRotation="90" shrinkToFit="1"/>
      <protection hidden="1"/>
    </xf>
    <xf numFmtId="0" fontId="13" fillId="5" borderId="39" xfId="0" applyFont="1" applyFill="1" applyBorder="1" applyAlignment="1" applyProtection="1">
      <alignment horizontal="center" textRotation="90" shrinkToFit="1"/>
      <protection hidden="1"/>
    </xf>
    <xf numFmtId="0" fontId="13" fillId="5" borderId="40" xfId="0" applyFont="1" applyFill="1" applyBorder="1" applyAlignment="1" applyProtection="1">
      <alignment horizontal="center" textRotation="90" shrinkToFit="1"/>
      <protection hidden="1"/>
    </xf>
    <xf numFmtId="0" fontId="13" fillId="5" borderId="41" xfId="0" applyFont="1" applyFill="1" applyBorder="1" applyAlignment="1" applyProtection="1">
      <alignment horizontal="center" textRotation="90" shrinkToFit="1"/>
      <protection hidden="1"/>
    </xf>
    <xf numFmtId="0" fontId="13" fillId="4" borderId="42" xfId="0" applyFont="1" applyFill="1" applyBorder="1" applyAlignment="1" applyProtection="1">
      <alignment horizontal="center" textRotation="90"/>
      <protection hidden="1"/>
    </xf>
    <xf numFmtId="0" fontId="13" fillId="4" borderId="43" xfId="0" applyFont="1" applyFill="1" applyBorder="1" applyAlignment="1" applyProtection="1">
      <alignment horizontal="center" textRotation="90"/>
      <protection hidden="1"/>
    </xf>
    <xf numFmtId="0" fontId="13" fillId="4" borderId="44" xfId="0" applyFont="1" applyFill="1" applyBorder="1" applyAlignment="1" applyProtection="1">
      <alignment horizontal="center" textRotation="90"/>
      <protection hidden="1"/>
    </xf>
    <xf numFmtId="0" fontId="13" fillId="4" borderId="45" xfId="0" applyFont="1" applyFill="1" applyBorder="1" applyAlignment="1" applyProtection="1">
      <alignment horizontal="center" textRotation="90"/>
      <protection hidden="1"/>
    </xf>
    <xf numFmtId="0" fontId="13" fillId="4" borderId="46" xfId="0" applyFont="1" applyFill="1" applyBorder="1" applyAlignment="1" applyProtection="1">
      <alignment horizontal="center" textRotation="90"/>
      <protection hidden="1"/>
    </xf>
    <xf numFmtId="0" fontId="13" fillId="4" borderId="47" xfId="0" applyFont="1" applyFill="1" applyBorder="1" applyAlignment="1" applyProtection="1">
      <alignment horizontal="center" textRotation="90"/>
      <protection hidden="1"/>
    </xf>
    <xf numFmtId="0" fontId="17" fillId="0" borderId="48" xfId="0" applyFont="1" applyBorder="1" applyAlignment="1" applyProtection="1">
      <alignment horizontal="center" vertical="center" shrinkToFit="1"/>
      <protection hidden="1"/>
    </xf>
    <xf numFmtId="0" fontId="17" fillId="0" borderId="6" xfId="0" applyFont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3" borderId="25" xfId="0" applyFont="1" applyFill="1" applyBorder="1" applyAlignment="1" applyProtection="1">
      <alignment horizontal="center" vertical="center" shrinkToFit="1"/>
      <protection hidden="1"/>
    </xf>
    <xf numFmtId="0" fontId="17" fillId="3" borderId="26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50" xfId="0" applyFont="1" applyBorder="1" applyAlignment="1" applyProtection="1">
      <alignment horizontal="center" vertical="center" shrinkToFit="1"/>
      <protection hidden="1"/>
    </xf>
    <xf numFmtId="0" fontId="17" fillId="3" borderId="30" xfId="0" applyFont="1" applyFill="1" applyBorder="1" applyAlignment="1" applyProtection="1">
      <alignment horizontal="center" vertical="center" shrinkToFit="1"/>
      <protection hidden="1"/>
    </xf>
    <xf numFmtId="0" fontId="17" fillId="3" borderId="51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52" xfId="0" applyFont="1" applyBorder="1" applyAlignment="1" applyProtection="1">
      <alignment horizontal="center" vertical="center" shrinkToFit="1"/>
      <protection hidden="1"/>
    </xf>
    <xf numFmtId="0" fontId="13" fillId="5" borderId="53" xfId="0" applyFont="1" applyFill="1" applyBorder="1" applyAlignment="1" applyProtection="1">
      <alignment horizontal="center" textRotation="90" shrinkToFit="1"/>
      <protection hidden="1"/>
    </xf>
    <xf numFmtId="0" fontId="13" fillId="5" borderId="54" xfId="0" applyFont="1" applyFill="1" applyBorder="1" applyAlignment="1" applyProtection="1">
      <alignment horizontal="center" textRotation="90" shrinkToFit="1"/>
      <protection hidden="1"/>
    </xf>
    <xf numFmtId="0" fontId="13" fillId="5" borderId="55" xfId="0" applyFont="1" applyFill="1" applyBorder="1" applyAlignment="1" applyProtection="1">
      <alignment horizontal="center" textRotation="90" shrinkToFit="1"/>
      <protection hidden="1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1" fontId="13" fillId="0" borderId="0" xfId="0" applyNumberFormat="1" applyFont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center" shrinkToFit="1"/>
      <protection hidden="1"/>
    </xf>
    <xf numFmtId="0" fontId="17" fillId="0" borderId="56" xfId="0" applyFont="1" applyFill="1" applyBorder="1" applyAlignment="1" applyProtection="1">
      <alignment horizontal="left" vertical="center" shrinkToFit="1"/>
      <protection hidden="1"/>
    </xf>
    <xf numFmtId="0" fontId="17" fillId="0" borderId="2" xfId="0" applyFont="1" applyFill="1" applyBorder="1" applyAlignment="1" applyProtection="1">
      <alignment horizontal="left" vertical="center" shrinkToFit="1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hidden="1"/>
    </xf>
    <xf numFmtId="0" fontId="17" fillId="0" borderId="22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Font="1" applyFill="1" applyBorder="1" applyAlignment="1" applyProtection="1">
      <alignment horizontal="center" vertical="center" shrinkToFit="1"/>
      <protection hidden="1"/>
    </xf>
    <xf numFmtId="0" fontId="17" fillId="0" borderId="48" xfId="0" applyFont="1" applyFill="1" applyBorder="1" applyAlignment="1" applyProtection="1">
      <alignment horizontal="center" vertical="center" shrinkToFit="1"/>
      <protection hidden="1"/>
    </xf>
    <xf numFmtId="0" fontId="17" fillId="0" borderId="51" xfId="0" applyFont="1" applyFill="1" applyBorder="1" applyAlignment="1" applyProtection="1">
      <alignment horizontal="center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9" xfId="0" applyFont="1" applyFill="1" applyBorder="1" applyAlignment="1" applyProtection="1">
      <alignment horizontal="center" vertical="center" shrinkToFit="1"/>
      <protection hidden="1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hidden="1"/>
    </xf>
    <xf numFmtId="0" fontId="26" fillId="0" borderId="60" xfId="0" applyFont="1" applyBorder="1" applyAlignment="1" applyProtection="1">
      <alignment horizontal="center" vertical="center"/>
      <protection hidden="1"/>
    </xf>
    <xf numFmtId="0" fontId="26" fillId="0" borderId="61" xfId="0" applyFont="1" applyBorder="1" applyAlignment="1" applyProtection="1">
      <alignment horizontal="center" vertical="center"/>
      <protection hidden="1"/>
    </xf>
    <xf numFmtId="0" fontId="26" fillId="0" borderId="62" xfId="0" applyFont="1" applyBorder="1" applyAlignment="1" applyProtection="1">
      <alignment horizontal="center" vertical="center"/>
      <protection hidden="1"/>
    </xf>
    <xf numFmtId="0" fontId="26" fillId="0" borderId="63" xfId="0" applyFont="1" applyBorder="1" applyAlignment="1" applyProtection="1">
      <alignment horizontal="center" vertical="center"/>
      <protection hidden="1"/>
    </xf>
    <xf numFmtId="0" fontId="26" fillId="0" borderId="64" xfId="0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vertical="center"/>
      <protection hidden="1"/>
    </xf>
    <xf numFmtId="0" fontId="16" fillId="3" borderId="19" xfId="0" applyFont="1" applyFill="1" applyBorder="1" applyAlignment="1" applyProtection="1">
      <alignment horizontal="center" vertical="center"/>
      <protection hidden="1"/>
    </xf>
    <xf numFmtId="167" fontId="17" fillId="0" borderId="42" xfId="0" applyNumberFormat="1" applyFont="1" applyFill="1" applyBorder="1" applyAlignment="1" applyProtection="1">
      <alignment horizontal="right" vertical="center" shrinkToFit="1"/>
      <protection locked="0"/>
    </xf>
    <xf numFmtId="167" fontId="17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6" fillId="6" borderId="23" xfId="0" applyFont="1" applyFill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40" xfId="0" applyFont="1" applyFill="1" applyBorder="1" applyAlignment="1" applyProtection="1">
      <alignment horizontal="center" vertical="center"/>
      <protection hidden="1"/>
    </xf>
    <xf numFmtId="0" fontId="16" fillId="7" borderId="67" xfId="0" applyFont="1" applyFill="1" applyBorder="1" applyAlignment="1" applyProtection="1">
      <alignment horizontal="center" vertical="center"/>
      <protection hidden="1"/>
    </xf>
    <xf numFmtId="0" fontId="16" fillId="7" borderId="23" xfId="0" applyFont="1" applyFill="1" applyBorder="1" applyAlignment="1" applyProtection="1">
      <alignment horizontal="center" vertical="center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0" fontId="16" fillId="6" borderId="67" xfId="0" applyFont="1" applyFill="1" applyBorder="1" applyAlignment="1" applyProtection="1">
      <alignment horizontal="center" vertical="center"/>
      <protection hidden="1"/>
    </xf>
    <xf numFmtId="0" fontId="16" fillId="3" borderId="67" xfId="0" applyFont="1" applyFill="1" applyBorder="1" applyAlignment="1" applyProtection="1">
      <alignment horizontal="center" vertical="center"/>
      <protection hidden="1"/>
    </xf>
    <xf numFmtId="0" fontId="16" fillId="3" borderId="23" xfId="0" applyFont="1" applyFill="1" applyBorder="1" applyAlignment="1" applyProtection="1">
      <alignment horizontal="center" vertical="center"/>
      <protection hidden="1"/>
    </xf>
    <xf numFmtId="0" fontId="16" fillId="3" borderId="68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64" fontId="17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20" fontId="16" fillId="0" borderId="0" xfId="0" applyNumberFormat="1" applyFont="1" applyBorder="1" applyAlignment="1" applyProtection="1">
      <alignment horizontal="center" vertical="center"/>
      <protection hidden="1"/>
    </xf>
    <xf numFmtId="169" fontId="16" fillId="0" borderId="0" xfId="0" applyNumberFormat="1" applyFont="1" applyBorder="1" applyAlignment="1" applyProtection="1">
      <alignment horizontal="center" vertical="center"/>
      <protection hidden="1"/>
    </xf>
    <xf numFmtId="0" fontId="16" fillId="5" borderId="18" xfId="0" applyFont="1" applyFill="1" applyBorder="1" applyAlignment="1" applyProtection="1">
      <alignment horizontal="center" vertical="center"/>
      <protection hidden="1"/>
    </xf>
    <xf numFmtId="0" fontId="16" fillId="5" borderId="19" xfId="0" applyFont="1" applyFill="1" applyBorder="1" applyAlignment="1" applyProtection="1">
      <alignment horizontal="center" vertical="center"/>
      <protection hidden="1"/>
    </xf>
    <xf numFmtId="0" fontId="16" fillId="5" borderId="20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0" fontId="16" fillId="4" borderId="2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4" fontId="17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46" xfId="0" applyNumberFormat="1" applyFont="1" applyBorder="1" applyAlignment="1" applyProtection="1">
      <alignment horizontal="center" vertical="center" shrinkToFit="1"/>
      <protection hidden="1"/>
    </xf>
    <xf numFmtId="0" fontId="17" fillId="0" borderId="69" xfId="0" applyFont="1" applyBorder="1" applyAlignment="1" applyProtection="1">
      <alignment horizontal="center" vertical="center" shrinkToFit="1"/>
      <protection hidden="1"/>
    </xf>
    <xf numFmtId="1" fontId="17" fillId="0" borderId="6" xfId="0" applyNumberFormat="1" applyFont="1" applyBorder="1" applyAlignment="1" applyProtection="1">
      <alignment horizontal="center" vertical="center" shrinkToFit="1"/>
      <protection hidden="1"/>
    </xf>
    <xf numFmtId="1" fontId="17" fillId="0" borderId="10" xfId="0" applyNumberFormat="1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6" fillId="5" borderId="23" xfId="0" applyFont="1" applyFill="1" applyBorder="1" applyAlignment="1" applyProtection="1">
      <alignment horizontal="center" vertical="center" shrinkToFit="1"/>
      <protection hidden="1"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2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166" fontId="17" fillId="0" borderId="12" xfId="0" applyNumberFormat="1" applyFont="1" applyBorder="1" applyAlignment="1" applyProtection="1">
      <alignment horizontal="center" vertical="center" shrinkToFit="1"/>
      <protection hidden="1"/>
    </xf>
    <xf numFmtId="166" fontId="17" fillId="0" borderId="3" xfId="0" applyNumberFormat="1" applyFont="1" applyBorder="1" applyAlignment="1" applyProtection="1">
      <alignment horizontal="center" vertical="center" shrinkToFit="1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166" fontId="17" fillId="0" borderId="16" xfId="0" applyNumberFormat="1" applyFont="1" applyBorder="1" applyAlignment="1" applyProtection="1">
      <alignment horizontal="center" vertical="center" shrinkToFit="1"/>
      <protection hidden="1"/>
    </xf>
    <xf numFmtId="166" fontId="17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5" borderId="68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6" fillId="4" borderId="24" xfId="0" applyFont="1" applyFill="1" applyBorder="1" applyAlignment="1" applyProtection="1">
      <alignment horizontal="center" vertical="center" shrinkToFit="1"/>
      <protection hidden="1"/>
    </xf>
    <xf numFmtId="0" fontId="16" fillId="4" borderId="23" xfId="0" applyFont="1" applyFill="1" applyBorder="1" applyAlignment="1" applyProtection="1">
      <alignment horizontal="center" vertical="center" shrinkToFit="1"/>
      <protection hidden="1"/>
    </xf>
    <xf numFmtId="0" fontId="16" fillId="4" borderId="68" xfId="0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66" xfId="0" applyNumberFormat="1" applyFont="1" applyBorder="1" applyAlignment="1" applyProtection="1">
      <alignment horizontal="center" vertical="center" shrinkToFi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6" fillId="5" borderId="70" xfId="0" applyFont="1" applyFill="1" applyBorder="1" applyAlignment="1" applyProtection="1">
      <alignment horizontal="center" vertical="center" shrinkToFit="1"/>
      <protection hidden="1"/>
    </xf>
    <xf numFmtId="1" fontId="17" fillId="0" borderId="48" xfId="0" applyNumberFormat="1" applyFont="1" applyBorder="1" applyAlignment="1" applyProtection="1">
      <alignment horizontal="center" vertical="center" shrinkToFit="1"/>
      <protection hidden="1"/>
    </xf>
    <xf numFmtId="1" fontId="17" fillId="0" borderId="21" xfId="0" applyNumberFormat="1" applyFont="1" applyBorder="1" applyAlignment="1" applyProtection="1">
      <alignment horizontal="center" vertical="center" shrinkToFit="1"/>
      <protection hidden="1"/>
    </xf>
    <xf numFmtId="0" fontId="16" fillId="5" borderId="24" xfId="0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167" fontId="16" fillId="8" borderId="48" xfId="0" applyNumberFormat="1" applyFont="1" applyFill="1" applyBorder="1" applyAlignment="1" applyProtection="1">
      <alignment horizontal="center" vertical="center"/>
      <protection hidden="1"/>
    </xf>
    <xf numFmtId="167" fontId="16" fillId="8" borderId="21" xfId="0" applyNumberFormat="1" applyFont="1" applyFill="1" applyBorder="1" applyAlignment="1" applyProtection="1">
      <alignment horizontal="center" vertical="center"/>
      <protection hidden="1"/>
    </xf>
    <xf numFmtId="0" fontId="16" fillId="6" borderId="24" xfId="0" applyFont="1" applyFill="1" applyBorder="1" applyAlignment="1" applyProtection="1">
      <alignment horizontal="center" vertical="center"/>
      <protection hidden="1"/>
    </xf>
    <xf numFmtId="0" fontId="16" fillId="6" borderId="19" xfId="0" applyFont="1" applyFill="1" applyBorder="1" applyAlignment="1" applyProtection="1">
      <alignment horizontal="center" vertical="center"/>
      <protection hidden="1"/>
    </xf>
    <xf numFmtId="0" fontId="16" fillId="6" borderId="68" xfId="0" applyFont="1" applyFill="1" applyBorder="1" applyAlignment="1" applyProtection="1">
      <alignment horizontal="center" vertical="center"/>
      <protection hidden="1"/>
    </xf>
    <xf numFmtId="167" fontId="17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6" fillId="5" borderId="18" xfId="0" applyFont="1" applyFill="1" applyBorder="1" applyAlignment="1" applyProtection="1">
      <alignment horizontal="center" vertical="center" shrinkToFit="1"/>
      <protection hidden="1"/>
    </xf>
    <xf numFmtId="0" fontId="16" fillId="5" borderId="19" xfId="0" applyFont="1" applyFill="1" applyBorder="1" applyAlignment="1" applyProtection="1">
      <alignment horizontal="center" vertical="center" shrinkToFit="1"/>
      <protection hidden="1"/>
    </xf>
    <xf numFmtId="0" fontId="16" fillId="5" borderId="20" xfId="0" applyFont="1" applyFill="1" applyBorder="1" applyAlignment="1" applyProtection="1">
      <alignment horizontal="center" vertical="center" shrinkToFit="1"/>
      <protection hidden="1"/>
    </xf>
    <xf numFmtId="0" fontId="16" fillId="6" borderId="18" xfId="0" applyFont="1" applyFill="1" applyBorder="1" applyAlignment="1" applyProtection="1">
      <alignment horizontal="center" vertical="center"/>
      <protection hidden="1"/>
    </xf>
    <xf numFmtId="0" fontId="16" fillId="6" borderId="20" xfId="0" applyFont="1" applyFill="1" applyBorder="1" applyAlignment="1" applyProtection="1">
      <alignment horizontal="center" vertical="center"/>
      <protection hidden="1"/>
    </xf>
    <xf numFmtId="0" fontId="16" fillId="7" borderId="18" xfId="0" applyFont="1" applyFill="1" applyBorder="1" applyAlignment="1" applyProtection="1">
      <alignment horizontal="center" vertical="center"/>
      <protection hidden="1"/>
    </xf>
    <xf numFmtId="0" fontId="16" fillId="7" borderId="19" xfId="0" applyFont="1" applyFill="1" applyBorder="1" applyAlignment="1" applyProtection="1">
      <alignment horizontal="center" vertical="center"/>
      <protection hidden="1"/>
    </xf>
    <xf numFmtId="0" fontId="16" fillId="7" borderId="20" xfId="0" applyFont="1" applyFill="1" applyBorder="1" applyAlignment="1" applyProtection="1">
      <alignment horizontal="center" vertical="center"/>
      <protection hidden="1"/>
    </xf>
    <xf numFmtId="0" fontId="16" fillId="2" borderId="68" xfId="0" applyFont="1" applyFill="1" applyBorder="1" applyAlignment="1" applyProtection="1">
      <alignment horizontal="center" vertical="center"/>
      <protection hidden="1"/>
    </xf>
    <xf numFmtId="164" fontId="16" fillId="0" borderId="37" xfId="0" applyNumberFormat="1" applyFont="1" applyFill="1" applyBorder="1" applyAlignment="1" applyProtection="1">
      <alignment horizontal="center" vertical="center"/>
      <protection hidden="1"/>
    </xf>
    <xf numFmtId="164" fontId="16" fillId="0" borderId="40" xfId="0" applyNumberFormat="1" applyFont="1" applyFill="1" applyBorder="1" applyAlignment="1" applyProtection="1">
      <alignment horizontal="center" vertical="center"/>
      <protection hidden="1"/>
    </xf>
    <xf numFmtId="0" fontId="16" fillId="7" borderId="24" xfId="0" applyFont="1" applyFill="1" applyBorder="1" applyAlignment="1" applyProtection="1">
      <alignment horizontal="center" vertical="center"/>
      <protection hidden="1"/>
    </xf>
    <xf numFmtId="0" fontId="16" fillId="7" borderId="68" xfId="0" applyFont="1" applyFill="1" applyBorder="1" applyAlignment="1" applyProtection="1">
      <alignment horizontal="center" vertical="center"/>
      <protection hidden="1"/>
    </xf>
    <xf numFmtId="172" fontId="16" fillId="0" borderId="0" xfId="0" applyNumberFormat="1" applyFont="1" applyBorder="1" applyAlignment="1" applyProtection="1">
      <alignment horizontal="left" vertical="center"/>
      <protection hidden="1"/>
    </xf>
    <xf numFmtId="16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1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16" fillId="0" borderId="13" xfId="0" applyFont="1" applyBorder="1" applyAlignment="1" applyProtection="1">
      <alignment horizontal="left" vertical="center" shrinkToFit="1"/>
      <protection hidden="1"/>
    </xf>
    <xf numFmtId="0" fontId="16" fillId="0" borderId="10" xfId="0" applyFont="1" applyBorder="1" applyAlignment="1" applyProtection="1">
      <alignment horizontal="left" vertical="center" shrinkToFit="1"/>
      <protection hidden="1"/>
    </xf>
    <xf numFmtId="0" fontId="16" fillId="0" borderId="4" xfId="0" applyFont="1" applyBorder="1" applyAlignment="1" applyProtection="1">
      <alignment horizontal="left" vertical="center" shrinkToFit="1"/>
      <protection hidden="1"/>
    </xf>
    <xf numFmtId="0" fontId="16" fillId="0" borderId="17" xfId="0" applyFont="1" applyBorder="1" applyAlignment="1" applyProtection="1">
      <alignment horizontal="left" vertical="center" shrinkToFit="1"/>
      <protection hidden="1"/>
    </xf>
    <xf numFmtId="0" fontId="16" fillId="0" borderId="66" xfId="0" applyFont="1" applyBorder="1" applyAlignment="1" applyProtection="1">
      <alignment horizontal="left" vertical="center" shrinkToFit="1"/>
      <protection hidden="1"/>
    </xf>
    <xf numFmtId="0" fontId="16" fillId="0" borderId="2" xfId="0" applyFont="1" applyBorder="1" applyAlignment="1" applyProtection="1">
      <alignment horizontal="left" vertical="center" shrinkToFit="1"/>
      <protection hidden="1"/>
    </xf>
    <xf numFmtId="0" fontId="16" fillId="0" borderId="15" xfId="0" applyFont="1" applyBorder="1" applyAlignment="1" applyProtection="1">
      <alignment horizontal="left" vertical="center" shrinkToFit="1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57" xfId="0" applyFont="1" applyBorder="1" applyAlignment="1" applyProtection="1">
      <alignment horizontal="center" vertical="center"/>
      <protection hidden="1"/>
    </xf>
    <xf numFmtId="169" fontId="16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69" fontId="13" fillId="0" borderId="0" xfId="0" applyNumberFormat="1" applyFont="1" applyBorder="1" applyAlignment="1" applyProtection="1">
      <alignment horizontal="left" vertical="center"/>
      <protection hidden="1"/>
    </xf>
    <xf numFmtId="169" fontId="13" fillId="0" borderId="0" xfId="0" applyNumberFormat="1" applyFont="1" applyBorder="1" applyAlignment="1" applyProtection="1">
      <alignment horizontal="center"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9" fillId="2" borderId="68" xfId="0" applyFont="1" applyFill="1" applyBorder="1" applyAlignment="1" applyProtection="1">
      <alignment horizontal="center" vertical="center"/>
      <protection hidden="1"/>
    </xf>
    <xf numFmtId="0" fontId="34" fillId="3" borderId="6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0" fontId="9" fillId="0" borderId="30" xfId="0" applyFont="1" applyBorder="1" applyAlignment="1" applyProtection="1">
      <alignment horizontal="center" vertical="center" shrinkToFit="1"/>
      <protection hidden="1"/>
    </xf>
    <xf numFmtId="0" fontId="9" fillId="4" borderId="18" xfId="0" applyFont="1" applyFill="1" applyBorder="1" applyAlignment="1" applyProtection="1">
      <alignment horizontal="center" vertical="center" shrinkToFit="1"/>
      <protection hidden="1"/>
    </xf>
    <xf numFmtId="0" fontId="9" fillId="4" borderId="19" xfId="0" applyFont="1" applyFill="1" applyBorder="1" applyAlignment="1" applyProtection="1">
      <alignment horizontal="center" vertical="center" shrinkToFit="1"/>
      <protection hidden="1"/>
    </xf>
    <xf numFmtId="0" fontId="9" fillId="4" borderId="20" xfId="0" applyFont="1" applyFill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left" vertical="center" shrinkToFit="1"/>
      <protection hidden="1"/>
    </xf>
    <xf numFmtId="0" fontId="9" fillId="0" borderId="26" xfId="0" applyFont="1" applyBorder="1" applyAlignment="1" applyProtection="1">
      <alignment horizontal="left" vertical="center" shrinkToFit="1"/>
      <protection hidden="1"/>
    </xf>
    <xf numFmtId="0" fontId="9" fillId="0" borderId="27" xfId="0" applyFont="1" applyBorder="1" applyAlignment="1" applyProtection="1">
      <alignment horizontal="left" vertical="center" shrinkToFit="1"/>
      <protection hidden="1"/>
    </xf>
    <xf numFmtId="0" fontId="9" fillId="0" borderId="28" xfId="0" applyFont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3" xfId="0" applyFont="1" applyFill="1" applyBorder="1" applyAlignment="1" applyProtection="1">
      <alignment horizontal="center" vertical="center" shrinkToFit="1"/>
      <protection hidden="1"/>
    </xf>
    <xf numFmtId="0" fontId="10" fillId="0" borderId="13" xfId="0" applyFont="1" applyFill="1" applyBorder="1" applyAlignment="1" applyProtection="1">
      <alignment horizontal="center" vertical="center" shrinkToFit="1"/>
      <protection hidden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19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0" fontId="9" fillId="6" borderId="2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9" fillId="0" borderId="69" xfId="0" applyFont="1" applyBorder="1" applyAlignment="1" applyProtection="1">
      <alignment horizontal="center" vertical="center" shrinkToFit="1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9" fillId="3" borderId="4" xfId="0" applyFont="1" applyFill="1" applyBorder="1" applyAlignment="1" applyProtection="1">
      <alignment horizontal="center" vertical="center" shrinkToFit="1"/>
      <protection hidden="1"/>
    </xf>
    <xf numFmtId="0" fontId="9" fillId="3" borderId="69" xfId="0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shrinkToFit="1"/>
      <protection hidden="1"/>
    </xf>
    <xf numFmtId="0" fontId="9" fillId="0" borderId="52" xfId="0" applyFont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 applyProtection="1">
      <alignment horizontal="left" vertical="center" shrinkToFit="1"/>
      <protection hidden="1"/>
    </xf>
    <xf numFmtId="0" fontId="9" fillId="0" borderId="30" xfId="0" applyFont="1" applyBorder="1" applyAlignment="1" applyProtection="1">
      <alignment horizontal="left" vertical="center" shrinkToFit="1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9" fillId="0" borderId="50" xfId="0" applyFont="1" applyBorder="1" applyAlignment="1" applyProtection="1">
      <alignment horizontal="center" vertical="center" shrinkToFit="1"/>
      <protection hidden="1"/>
    </xf>
    <xf numFmtId="0" fontId="36" fillId="5" borderId="42" xfId="0" applyFont="1" applyFill="1" applyBorder="1" applyAlignment="1" applyProtection="1">
      <alignment horizontal="center" textRotation="90"/>
      <protection hidden="1"/>
    </xf>
    <xf numFmtId="0" fontId="36" fillId="5" borderId="32" xfId="0" applyFont="1" applyFill="1" applyBorder="1" applyAlignment="1" applyProtection="1">
      <alignment horizontal="center" textRotation="90"/>
      <protection hidden="1"/>
    </xf>
    <xf numFmtId="0" fontId="36" fillId="5" borderId="33" xfId="0" applyFont="1" applyFill="1" applyBorder="1" applyAlignment="1" applyProtection="1">
      <alignment horizontal="center" textRotation="90"/>
      <protection hidden="1"/>
    </xf>
    <xf numFmtId="0" fontId="36" fillId="5" borderId="44" xfId="0" applyFont="1" applyFill="1" applyBorder="1" applyAlignment="1" applyProtection="1">
      <alignment horizontal="center" textRotation="90"/>
      <protection hidden="1"/>
    </xf>
    <xf numFmtId="0" fontId="36" fillId="5" borderId="0" xfId="0" applyFont="1" applyFill="1" applyBorder="1" applyAlignment="1" applyProtection="1">
      <alignment horizontal="center" textRotation="90"/>
      <protection hidden="1"/>
    </xf>
    <xf numFmtId="0" fontId="36" fillId="5" borderId="34" xfId="0" applyFont="1" applyFill="1" applyBorder="1" applyAlignment="1" applyProtection="1">
      <alignment horizontal="center" textRotation="90"/>
      <protection hidden="1"/>
    </xf>
    <xf numFmtId="0" fontId="36" fillId="5" borderId="46" xfId="0" applyFont="1" applyFill="1" applyBorder="1" applyAlignment="1" applyProtection="1">
      <alignment horizontal="center" textRotation="90"/>
      <protection hidden="1"/>
    </xf>
    <xf numFmtId="0" fontId="36" fillId="5" borderId="5" xfId="0" applyFont="1" applyFill="1" applyBorder="1" applyAlignment="1" applyProtection="1">
      <alignment horizontal="center" textRotation="90"/>
      <protection hidden="1"/>
    </xf>
    <xf numFmtId="0" fontId="36" fillId="5" borderId="36" xfId="0" applyFont="1" applyFill="1" applyBorder="1" applyAlignment="1" applyProtection="1">
      <alignment horizontal="center" textRotation="90"/>
      <protection hidden="1"/>
    </xf>
    <xf numFmtId="0" fontId="36" fillId="5" borderId="31" xfId="0" applyFont="1" applyFill="1" applyBorder="1" applyAlignment="1" applyProtection="1">
      <alignment horizontal="center" textRotation="90"/>
      <protection hidden="1"/>
    </xf>
    <xf numFmtId="0" fontId="36" fillId="5" borderId="1" xfId="0" applyFont="1" applyFill="1" applyBorder="1" applyAlignment="1" applyProtection="1">
      <alignment horizontal="center" textRotation="90"/>
      <protection hidden="1"/>
    </xf>
    <xf numFmtId="0" fontId="36" fillId="5" borderId="35" xfId="0" applyFont="1" applyFill="1" applyBorder="1" applyAlignment="1" applyProtection="1">
      <alignment horizontal="center" textRotation="90"/>
      <protection hidden="1"/>
    </xf>
    <xf numFmtId="0" fontId="9" fillId="3" borderId="30" xfId="0" applyFont="1" applyFill="1" applyBorder="1" applyAlignment="1" applyProtection="1">
      <alignment horizontal="center" vertical="center" shrinkToFit="1"/>
      <protection hidden="1"/>
    </xf>
    <xf numFmtId="0" fontId="9" fillId="3" borderId="51" xfId="0" applyFont="1" applyFill="1" applyBorder="1" applyAlignment="1" applyProtection="1">
      <alignment horizontal="center" vertical="center" shrinkToFit="1"/>
      <protection hidden="1"/>
    </xf>
    <xf numFmtId="0" fontId="9" fillId="0" borderId="49" xfId="0" applyFont="1" applyBorder="1" applyAlignment="1" applyProtection="1">
      <alignment horizontal="center" vertical="center" shrinkToFit="1"/>
      <protection hidden="1"/>
    </xf>
    <xf numFmtId="166" fontId="9" fillId="0" borderId="14" xfId="0" applyNumberFormat="1" applyFont="1" applyBorder="1" applyAlignment="1" applyProtection="1">
      <alignment horizontal="center" vertical="center" shrinkToFit="1"/>
      <protection hidden="1"/>
    </xf>
    <xf numFmtId="166" fontId="9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21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56" xfId="0" applyFont="1" applyBorder="1" applyAlignment="1" applyProtection="1">
      <alignment horizontal="center" vertical="center" shrinkToFit="1"/>
      <protection hidden="1"/>
    </xf>
    <xf numFmtId="0" fontId="9" fillId="3" borderId="25" xfId="0" applyFont="1" applyFill="1" applyBorder="1" applyAlignment="1" applyProtection="1">
      <alignment horizontal="center" vertical="center" shrinkToFit="1"/>
      <protection hidden="1"/>
    </xf>
    <xf numFmtId="0" fontId="9" fillId="3" borderId="26" xfId="0" applyFont="1" applyFill="1" applyBorder="1" applyAlignment="1" applyProtection="1">
      <alignment horizontal="center" vertical="center" shrinkToFit="1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36" fillId="5" borderId="43" xfId="0" applyFont="1" applyFill="1" applyBorder="1" applyAlignment="1" applyProtection="1">
      <alignment horizontal="center" textRotation="90"/>
      <protection hidden="1"/>
    </xf>
    <xf numFmtId="0" fontId="36" fillId="5" borderId="45" xfId="0" applyFont="1" applyFill="1" applyBorder="1" applyAlignment="1" applyProtection="1">
      <alignment horizontal="center" textRotation="90"/>
      <protection hidden="1"/>
    </xf>
    <xf numFmtId="0" fontId="36" fillId="5" borderId="47" xfId="0" applyFont="1" applyFill="1" applyBorder="1" applyAlignment="1" applyProtection="1">
      <alignment horizontal="center" textRotation="90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69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57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56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13" xfId="0" applyFont="1" applyBorder="1" applyAlignment="1" applyProtection="1">
      <alignment horizontal="left" vertical="center" shrinkToFit="1"/>
      <protection hidden="1"/>
    </xf>
    <xf numFmtId="0" fontId="9" fillId="0" borderId="10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9" fillId="0" borderId="17" xfId="0" applyFont="1" applyBorder="1" applyAlignment="1" applyProtection="1">
      <alignment horizontal="left" vertical="center" shrinkToFit="1"/>
      <protection hidden="1"/>
    </xf>
    <xf numFmtId="0" fontId="9" fillId="0" borderId="66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15" xfId="0" applyFont="1" applyBorder="1" applyAlignment="1" applyProtection="1">
      <alignment horizontal="left" vertical="center" shrinkToFit="1"/>
      <protection hidden="1"/>
    </xf>
    <xf numFmtId="167" fontId="9" fillId="0" borderId="37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42" xfId="0" applyNumberFormat="1" applyFont="1" applyFill="1" applyBorder="1" applyAlignment="1" applyProtection="1">
      <alignment horizontal="right" vertical="center" shrinkToFit="1"/>
      <protection hidden="1"/>
    </xf>
    <xf numFmtId="167" fontId="9" fillId="8" borderId="48" xfId="0" applyNumberFormat="1" applyFont="1" applyFill="1" applyBorder="1" applyAlignment="1" applyProtection="1">
      <alignment horizontal="center" vertical="center"/>
      <protection hidden="1"/>
    </xf>
    <xf numFmtId="167" fontId="9" fillId="8" borderId="21" xfId="0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6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6" borderId="24" xfId="0" applyFont="1" applyFill="1" applyBorder="1" applyAlignment="1" applyProtection="1">
      <alignment horizontal="center" vertical="center"/>
      <protection hidden="1"/>
    </xf>
    <xf numFmtId="0" fontId="9" fillId="6" borderId="68" xfId="0" applyFont="1" applyFill="1" applyBorder="1" applyAlignment="1" applyProtection="1">
      <alignment horizontal="center" vertical="center"/>
      <protection hidden="1"/>
    </xf>
    <xf numFmtId="0" fontId="9" fillId="6" borderId="23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57" xfId="0" applyFont="1" applyFill="1" applyBorder="1" applyAlignment="1" applyProtection="1">
      <alignment horizontal="left" vertical="center" shrinkToFit="1"/>
      <protection hidden="1"/>
    </xf>
    <xf numFmtId="0" fontId="9" fillId="6" borderId="67" xfId="0" applyFont="1" applyFill="1" applyBorder="1" applyAlignment="1" applyProtection="1">
      <alignment horizontal="center" vertical="center"/>
      <protection hidden="1"/>
    </xf>
    <xf numFmtId="0" fontId="9" fillId="7" borderId="23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7" borderId="68" xfId="0" applyFont="1" applyFill="1" applyBorder="1" applyAlignment="1" applyProtection="1">
      <alignment horizontal="center" vertical="center"/>
      <protection hidden="1"/>
    </xf>
    <xf numFmtId="0" fontId="9" fillId="0" borderId="66" xfId="0" applyFont="1" applyFill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1" fontId="9" fillId="0" borderId="0" xfId="0" applyNumberFormat="1" applyFont="1" applyAlignment="1" applyProtection="1">
      <alignment horizontal="center" vertical="center"/>
      <protection hidden="1"/>
    </xf>
    <xf numFmtId="0" fontId="37" fillId="0" borderId="59" xfId="0" applyFont="1" applyBorder="1" applyAlignment="1" applyProtection="1">
      <alignment horizontal="center" vertical="center"/>
      <protection hidden="1"/>
    </xf>
    <xf numFmtId="0" fontId="37" fillId="0" borderId="60" xfId="0" applyFont="1" applyBorder="1" applyAlignment="1" applyProtection="1">
      <alignment horizontal="center" vertical="center"/>
      <protection hidden="1"/>
    </xf>
    <xf numFmtId="0" fontId="37" fillId="0" borderId="61" xfId="0" applyFont="1" applyBorder="1" applyAlignment="1" applyProtection="1">
      <alignment horizontal="center" vertical="center"/>
      <protection hidden="1"/>
    </xf>
    <xf numFmtId="0" fontId="37" fillId="0" borderId="62" xfId="0" applyFont="1" applyBorder="1" applyAlignment="1" applyProtection="1">
      <alignment horizontal="center" vertical="center"/>
      <protection hidden="1"/>
    </xf>
    <xf numFmtId="0" fontId="37" fillId="0" borderId="63" xfId="0" applyFont="1" applyBorder="1" applyAlignment="1" applyProtection="1">
      <alignment horizontal="center" vertical="center"/>
      <protection hidden="1"/>
    </xf>
    <xf numFmtId="0" fontId="37" fillId="0" borderId="64" xfId="0" applyFont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52" xfId="0" applyFont="1" applyFill="1" applyBorder="1" applyAlignment="1" applyProtection="1">
      <alignment horizontal="center" vertical="center" shrinkToFit="1"/>
      <protection hidden="1"/>
    </xf>
    <xf numFmtId="164" fontId="9" fillId="0" borderId="2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56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2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65" xfId="0" applyNumberFormat="1" applyFont="1" applyFill="1" applyBorder="1" applyAlignment="1" applyProtection="1">
      <alignment horizontal="center" vertical="center" shrinkToFit="1"/>
      <protection hidden="1"/>
    </xf>
    <xf numFmtId="166" fontId="9" fillId="0" borderId="16" xfId="0" applyNumberFormat="1" applyFont="1" applyBorder="1" applyAlignment="1" applyProtection="1">
      <alignment horizontal="center" vertical="center" shrinkToFit="1"/>
      <protection hidden="1"/>
    </xf>
    <xf numFmtId="166" fontId="9" fillId="0" borderId="4" xfId="0" applyNumberFormat="1" applyFont="1" applyBorder="1" applyAlignment="1" applyProtection="1">
      <alignment horizontal="center" vertical="center" shrinkToFit="1"/>
      <protection hidden="1"/>
    </xf>
    <xf numFmtId="0" fontId="34" fillId="5" borderId="18" xfId="0" applyFont="1" applyFill="1" applyBorder="1" applyAlignment="1" applyProtection="1">
      <alignment horizontal="center" vertical="center" shrinkToFit="1"/>
      <protection hidden="1"/>
    </xf>
    <xf numFmtId="0" fontId="34" fillId="5" borderId="19" xfId="0" applyFont="1" applyFill="1" applyBorder="1" applyAlignment="1" applyProtection="1">
      <alignment horizontal="center" vertical="center" shrinkToFit="1"/>
      <protection hidden="1"/>
    </xf>
    <xf numFmtId="0" fontId="34" fillId="5" borderId="20" xfId="0" applyFont="1" applyFill="1" applyBorder="1" applyAlignment="1" applyProtection="1">
      <alignment horizontal="center" vertical="center" shrinkToFit="1"/>
      <protection hidden="1"/>
    </xf>
    <xf numFmtId="0" fontId="9" fillId="0" borderId="48" xfId="0" applyFont="1" applyBorder="1" applyAlignment="1" applyProtection="1">
      <alignment horizontal="center" vertical="center" shrinkToFit="1"/>
      <protection hidden="1"/>
    </xf>
    <xf numFmtId="0" fontId="9" fillId="3" borderId="6" xfId="0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34" fillId="5" borderId="23" xfId="0" applyFont="1" applyFill="1" applyBorder="1" applyAlignment="1" applyProtection="1">
      <alignment horizontal="center" vertical="center" shrinkToFit="1"/>
      <protection hidden="1"/>
    </xf>
    <xf numFmtId="0" fontId="34" fillId="5" borderId="68" xfId="0" applyFont="1" applyFill="1" applyBorder="1" applyAlignment="1" applyProtection="1">
      <alignment horizontal="center" vertical="center" shrinkToFit="1"/>
      <protection hidden="1"/>
    </xf>
    <xf numFmtId="1" fontId="9" fillId="0" borderId="6" xfId="0" applyNumberFormat="1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 shrinkToFit="1"/>
      <protection hidden="1"/>
    </xf>
    <xf numFmtId="0" fontId="9" fillId="4" borderId="24" xfId="0" applyFont="1" applyFill="1" applyBorder="1" applyAlignment="1" applyProtection="1">
      <alignment horizontal="center" vertical="center" shrinkToFit="1"/>
      <protection hidden="1"/>
    </xf>
    <xf numFmtId="0" fontId="9" fillId="4" borderId="23" xfId="0" applyFont="1" applyFill="1" applyBorder="1" applyAlignment="1" applyProtection="1">
      <alignment horizontal="center" vertical="center" shrinkToFit="1"/>
      <protection hidden="1"/>
    </xf>
    <xf numFmtId="0" fontId="9" fillId="0" borderId="57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hidden="1"/>
    </xf>
    <xf numFmtId="1" fontId="9" fillId="0" borderId="49" xfId="0" applyNumberFormat="1" applyFont="1" applyBorder="1" applyAlignment="1" applyProtection="1">
      <alignment horizontal="center" vertical="center" shrinkToFit="1"/>
      <protection hidden="1"/>
    </xf>
    <xf numFmtId="1" fontId="9" fillId="0" borderId="66" xfId="0" applyNumberFormat="1" applyFont="1" applyBorder="1" applyAlignment="1" applyProtection="1">
      <alignment horizontal="center" vertical="center" shrinkToFit="1"/>
      <protection hidden="1"/>
    </xf>
    <xf numFmtId="0" fontId="9" fillId="0" borderId="51" xfId="0" applyFont="1" applyBorder="1" applyAlignment="1" applyProtection="1">
      <alignment horizontal="center" vertical="center" shrinkToFit="1"/>
      <protection hidden="1"/>
    </xf>
    <xf numFmtId="0" fontId="9" fillId="0" borderId="66" xfId="0" applyFont="1" applyBorder="1" applyAlignment="1" applyProtection="1">
      <alignment horizontal="center" vertical="center" shrinkToFit="1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34" fillId="5" borderId="24" xfId="0" applyFont="1" applyFill="1" applyBorder="1" applyAlignment="1" applyProtection="1">
      <alignment horizontal="center" vertical="center" shrinkToFit="1"/>
      <protection hidden="1"/>
    </xf>
    <xf numFmtId="0" fontId="34" fillId="5" borderId="70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1" fontId="9" fillId="0" borderId="48" xfId="0" applyNumberFormat="1" applyFont="1" applyBorder="1" applyAlignment="1" applyProtection="1">
      <alignment horizontal="center" vertical="center" shrinkToFit="1"/>
      <protection hidden="1"/>
    </xf>
    <xf numFmtId="1" fontId="9" fillId="0" borderId="21" xfId="0" applyNumberFormat="1" applyFont="1" applyBorder="1" applyAlignment="1" applyProtection="1">
      <alignment horizontal="center" vertical="center" shrinkToFit="1"/>
      <protection hidden="1"/>
    </xf>
    <xf numFmtId="0" fontId="9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3" xfId="0" applyFont="1" applyFill="1" applyBorder="1" applyAlignment="1" applyProtection="1">
      <alignment horizontal="center" vertical="center" shrinkToFit="1"/>
      <protection hidden="1"/>
    </xf>
    <xf numFmtId="0" fontId="9" fillId="0" borderId="13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71" xfId="0" applyFont="1" applyFill="1" applyBorder="1" applyAlignment="1" applyProtection="1">
      <alignment horizontal="center" vertical="center" shrinkToFit="1"/>
      <protection hidden="1"/>
    </xf>
    <xf numFmtId="167" fontId="9" fillId="0" borderId="22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11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21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56" xfId="0" applyFont="1" applyFill="1" applyBorder="1" applyAlignment="1" applyProtection="1">
      <alignment horizontal="left" vertical="center" shrinkToFit="1"/>
      <protection hidden="1"/>
    </xf>
    <xf numFmtId="0" fontId="36" fillId="4" borderId="42" xfId="0" applyFont="1" applyFill="1" applyBorder="1" applyAlignment="1" applyProtection="1">
      <alignment horizontal="center" textRotation="90"/>
      <protection hidden="1"/>
    </xf>
    <xf numFmtId="0" fontId="36" fillId="4" borderId="32" xfId="0" applyFont="1" applyFill="1" applyBorder="1" applyAlignment="1" applyProtection="1">
      <alignment horizontal="center" textRotation="90"/>
      <protection hidden="1"/>
    </xf>
    <xf numFmtId="0" fontId="36" fillId="4" borderId="43" xfId="0" applyFont="1" applyFill="1" applyBorder="1" applyAlignment="1" applyProtection="1">
      <alignment horizontal="center" textRotation="90"/>
      <protection hidden="1"/>
    </xf>
    <xf numFmtId="0" fontId="36" fillId="4" borderId="44" xfId="0" applyFont="1" applyFill="1" applyBorder="1" applyAlignment="1" applyProtection="1">
      <alignment horizontal="center" textRotation="90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6" fillId="4" borderId="45" xfId="0" applyFont="1" applyFill="1" applyBorder="1" applyAlignment="1" applyProtection="1">
      <alignment horizontal="center" textRotation="90"/>
      <protection hidden="1"/>
    </xf>
    <xf numFmtId="0" fontId="36" fillId="4" borderId="46" xfId="0" applyFont="1" applyFill="1" applyBorder="1" applyAlignment="1" applyProtection="1">
      <alignment horizontal="center" textRotation="90"/>
      <protection hidden="1"/>
    </xf>
    <xf numFmtId="0" fontId="36" fillId="4" borderId="5" xfId="0" applyFont="1" applyFill="1" applyBorder="1" applyAlignment="1" applyProtection="1">
      <alignment horizontal="center" textRotation="90"/>
      <protection hidden="1"/>
    </xf>
    <xf numFmtId="0" fontId="36" fillId="4" borderId="47" xfId="0" applyFont="1" applyFill="1" applyBorder="1" applyAlignment="1" applyProtection="1">
      <alignment horizontal="center" textRotation="90"/>
      <protection hidden="1"/>
    </xf>
    <xf numFmtId="0" fontId="9" fillId="4" borderId="68" xfId="0" applyFont="1" applyFill="1" applyBorder="1" applyAlignment="1" applyProtection="1">
      <alignment horizontal="center" vertical="center" shrinkToFit="1"/>
      <protection hidden="1"/>
    </xf>
    <xf numFmtId="0" fontId="36" fillId="4" borderId="31" xfId="0" applyFont="1" applyFill="1" applyBorder="1" applyAlignment="1" applyProtection="1">
      <alignment horizontal="center" textRotation="90"/>
      <protection hidden="1"/>
    </xf>
    <xf numFmtId="0" fontId="36" fillId="4" borderId="33" xfId="0" applyFont="1" applyFill="1" applyBorder="1" applyAlignment="1" applyProtection="1">
      <alignment horizontal="center" textRotation="90"/>
      <protection hidden="1"/>
    </xf>
    <xf numFmtId="0" fontId="36" fillId="4" borderId="1" xfId="0" applyFont="1" applyFill="1" applyBorder="1" applyAlignment="1" applyProtection="1">
      <alignment horizontal="center" textRotation="90"/>
      <protection hidden="1"/>
    </xf>
    <xf numFmtId="0" fontId="36" fillId="4" borderId="34" xfId="0" applyFont="1" applyFill="1" applyBorder="1" applyAlignment="1" applyProtection="1">
      <alignment horizontal="center" textRotation="90"/>
      <protection hidden="1"/>
    </xf>
    <xf numFmtId="0" fontId="36" fillId="4" borderId="35" xfId="0" applyFont="1" applyFill="1" applyBorder="1" applyAlignment="1" applyProtection="1">
      <alignment horizontal="center" textRotation="90"/>
      <protection hidden="1"/>
    </xf>
    <xf numFmtId="0" fontId="36" fillId="4" borderId="36" xfId="0" applyFont="1" applyFill="1" applyBorder="1" applyAlignment="1" applyProtection="1">
      <alignment horizontal="center" textRotation="90"/>
      <protection hidden="1"/>
    </xf>
    <xf numFmtId="0" fontId="9" fillId="0" borderId="58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65" xfId="0" applyFont="1" applyFill="1" applyBorder="1" applyAlignment="1" applyProtection="1">
      <alignment horizontal="left" vertical="center" shrinkToFit="1"/>
      <protection hidden="1"/>
    </xf>
    <xf numFmtId="0" fontId="9" fillId="0" borderId="22" xfId="0" applyFont="1" applyFill="1" applyBorder="1" applyAlignment="1" applyProtection="1">
      <alignment horizontal="left" vertical="center" shrinkToFit="1"/>
      <protection hidden="1"/>
    </xf>
    <xf numFmtId="164" fontId="9" fillId="0" borderId="66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2" xfId="0" applyNumberFormat="1" applyFont="1" applyFill="1" applyBorder="1" applyAlignment="1" applyProtection="1">
      <alignment horizontal="center" vertical="center" shrinkToFit="1"/>
      <protection hidden="1"/>
    </xf>
    <xf numFmtId="164" fontId="9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49" xfId="0" applyFont="1" applyFill="1" applyBorder="1" applyAlignment="1" applyProtection="1">
      <alignment horizontal="center" vertical="center" shrinkToFit="1"/>
      <protection hidden="1"/>
    </xf>
    <xf numFmtId="167" fontId="9" fillId="0" borderId="66" xfId="0" applyNumberFormat="1" applyFont="1" applyFill="1" applyBorder="1" applyAlignment="1" applyProtection="1">
      <alignment horizontal="right" vertical="center" shrinkToFit="1"/>
      <protection hidden="1"/>
    </xf>
    <xf numFmtId="167" fontId="9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0" applyFont="1" applyFill="1" applyBorder="1" applyAlignment="1" applyProtection="1">
      <alignment horizontal="right" vertical="center"/>
      <protection hidden="1"/>
    </xf>
    <xf numFmtId="166" fontId="9" fillId="0" borderId="12" xfId="0" applyNumberFormat="1" applyFont="1" applyBorder="1" applyAlignment="1" applyProtection="1">
      <alignment horizontal="center" vertical="center" shrinkToFit="1"/>
      <protection hidden="1"/>
    </xf>
    <xf numFmtId="166" fontId="9" fillId="0" borderId="3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20" fontId="9" fillId="0" borderId="0" xfId="0" applyNumberFormat="1" applyFont="1" applyBorder="1" applyAlignment="1" applyProtection="1">
      <alignment horizontal="center" vertical="center"/>
      <protection hidden="1"/>
    </xf>
    <xf numFmtId="0" fontId="9" fillId="5" borderId="18" xfId="0" applyFont="1" applyFill="1" applyBorder="1" applyAlignment="1" applyProtection="1">
      <alignment horizontal="center" vertical="center"/>
      <protection hidden="1"/>
    </xf>
    <xf numFmtId="0" fontId="9" fillId="5" borderId="19" xfId="0" applyFont="1" applyFill="1" applyBorder="1" applyAlignment="1" applyProtection="1">
      <alignment horizontal="center" vertical="center"/>
      <protection hidden="1"/>
    </xf>
    <xf numFmtId="0" fontId="9" fillId="5" borderId="2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/>
      <protection hidden="1"/>
    </xf>
    <xf numFmtId="0" fontId="9" fillId="4" borderId="1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7" borderId="67" xfId="0" applyFont="1" applyFill="1" applyBorder="1" applyAlignment="1" applyProtection="1">
      <alignment horizontal="center" vertical="center"/>
      <protection hidden="1"/>
    </xf>
    <xf numFmtId="0" fontId="9" fillId="2" borderId="67" xfId="0" applyFont="1" applyFill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 shrinkToFit="1"/>
      <protection hidden="1"/>
    </xf>
    <xf numFmtId="0" fontId="9" fillId="0" borderId="16" xfId="0" applyFont="1" applyBorder="1" applyAlignment="1" applyProtection="1">
      <alignment horizontal="left" vertical="center" shrinkToFit="1"/>
      <protection hidden="1"/>
    </xf>
    <xf numFmtId="171" fontId="13" fillId="0" borderId="0" xfId="0" applyNumberFormat="1" applyFont="1" applyAlignment="1" applyProtection="1">
      <alignment horizontal="center" vertical="center"/>
      <protection hidden="1"/>
    </xf>
    <xf numFmtId="0" fontId="9" fillId="3" borderId="67" xfId="0" applyFont="1" applyFill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 vertical="center" shrinkToFit="1"/>
      <protection hidden="1"/>
    </xf>
  </cellXfs>
  <cellStyles count="2">
    <cellStyle name="Standard" xfId="0" builtinId="0"/>
    <cellStyle name="Standard 2" xfId="1"/>
  </cellStyles>
  <dxfs count="84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1</xdr:row>
      <xdr:rowOff>114300</xdr:rowOff>
    </xdr:from>
    <xdr:to>
      <xdr:col>60</xdr:col>
      <xdr:colOff>57150</xdr:colOff>
      <xdr:row>9</xdr:row>
      <xdr:rowOff>47625</xdr:rowOff>
    </xdr:to>
    <xdr:pic>
      <xdr:nvPicPr>
        <xdr:cNvPr id="10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209550"/>
          <a:ext cx="1419225" cy="1495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95250</xdr:colOff>
      <xdr:row>0</xdr:row>
      <xdr:rowOff>57150</xdr:rowOff>
    </xdr:from>
    <xdr:to>
      <xdr:col>57</xdr:col>
      <xdr:colOff>85725</xdr:colOff>
      <xdr:row>7</xdr:row>
      <xdr:rowOff>161925</xdr:rowOff>
    </xdr:to>
    <xdr:pic>
      <xdr:nvPicPr>
        <xdr:cNvPr id="20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75" y="57150"/>
          <a:ext cx="1419225" cy="1495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123825</xdr:colOff>
      <xdr:row>62</xdr:row>
      <xdr:rowOff>76200</xdr:rowOff>
    </xdr:from>
    <xdr:to>
      <xdr:col>56</xdr:col>
      <xdr:colOff>123825</xdr:colOff>
      <xdr:row>69</xdr:row>
      <xdr:rowOff>19050</xdr:rowOff>
    </xdr:to>
    <xdr:pic>
      <xdr:nvPicPr>
        <xdr:cNvPr id="20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13820775"/>
          <a:ext cx="1428750" cy="1466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Z459"/>
  <sheetViews>
    <sheetView showGridLines="0" showRowColHeaders="0" tabSelected="1" topLeftCell="A99" zoomScaleNormal="100" workbookViewId="0">
      <selection activeCell="AZ3" sqref="AZ3:BG3"/>
    </sheetView>
  </sheetViews>
  <sheetFormatPr baseColWidth="10"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/>
  </cols>
  <sheetData>
    <row r="1" spans="2:115" ht="7.5" customHeight="1"/>
    <row r="2" spans="2:115" ht="33">
      <c r="C2" s="284" t="s">
        <v>83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115" s="7" customFormat="1" ht="27">
      <c r="C3" s="283" t="s">
        <v>87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2:115" s="11" customFormat="1" ht="15">
      <c r="C4" s="282" t="s">
        <v>65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2:115" s="11" customFormat="1" ht="6.4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2:115" s="17" customFormat="1" ht="15">
      <c r="C6" s="285">
        <v>41671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2:115" s="11" customFormat="1" ht="6.4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2:115" s="22" customFormat="1" ht="15">
      <c r="C8" s="281" t="s">
        <v>89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2:115" s="11" customFormat="1" ht="6.4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115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0.70833333333333337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12</v>
      </c>
      <c r="Y11" s="207"/>
      <c r="Z11" s="207"/>
      <c r="AA11" s="207"/>
      <c r="AB11" s="207"/>
      <c r="AC11" s="206" t="str">
        <f>IF(U11=2,"Halbzeit:","")</f>
        <v/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1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0.82499999999999973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v>12</v>
      </c>
      <c r="Y14" s="207"/>
      <c r="Z14" s="207"/>
      <c r="AA14" s="207"/>
      <c r="AB14" s="207"/>
      <c r="AC14" s="206" t="str">
        <f>IF(U14=2,"Halbzeit:","")</f>
        <v/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1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2:115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spans="3:80" ht="10.15" customHeight="1" thickBot="1"/>
    <row r="18" spans="3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79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 thickBot="1">
      <c r="C20" s="117">
        <v>2</v>
      </c>
      <c r="D20" s="203" t="s">
        <v>88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5"/>
      <c r="Y20" s="156" t="s">
        <v>59</v>
      </c>
      <c r="AB20" s="117">
        <v>2</v>
      </c>
      <c r="AC20" s="197" t="s">
        <v>82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203" t="s">
        <v>86</v>
      </c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156" t="s">
        <v>60</v>
      </c>
      <c r="AB21" s="117">
        <v>3</v>
      </c>
      <c r="AC21" s="203" t="s">
        <v>81</v>
      </c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5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197" t="s">
        <v>85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9"/>
      <c r="AB22" s="117">
        <v>4</v>
      </c>
      <c r="AC22" s="197" t="s">
        <v>84</v>
      </c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9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pans="3:80" s="22" customFormat="1" ht="14.25"/>
    <row r="24" spans="3:80" s="22" customFormat="1" ht="14.45" customHeight="1">
      <c r="C24" s="31" t="s">
        <v>8</v>
      </c>
    </row>
    <row r="25" spans="3:80" s="22" customFormat="1" ht="18" customHeight="1" thickBot="1"/>
    <row r="26" spans="3:8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8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0.70833333333333337</v>
      </c>
      <c r="I27" s="402"/>
      <c r="J27" s="402"/>
      <c r="K27" s="403"/>
      <c r="L27" s="316" t="str">
        <f>$D$19</f>
        <v>FC Lindau 2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SG Rollshausen/Obernfeld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>
        <v>0</v>
      </c>
      <c r="BD27" s="308"/>
      <c r="BE27" s="308"/>
      <c r="BF27" s="310">
        <v>3</v>
      </c>
      <c r="BG27" s="310"/>
      <c r="BH27" s="121"/>
    </row>
    <row r="28" spans="3:8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0.71736111111111112</v>
      </c>
      <c r="I28" s="330"/>
      <c r="J28" s="330"/>
      <c r="K28" s="331"/>
      <c r="L28" s="332" t="str">
        <f>$D$21</f>
        <v>SV BW Bilshausen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FC Höherberg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>
        <v>3</v>
      </c>
      <c r="BD28" s="226"/>
      <c r="BE28" s="226"/>
      <c r="BF28" s="223">
        <v>0</v>
      </c>
      <c r="BG28" s="224"/>
      <c r="BH28" s="121"/>
    </row>
    <row r="29" spans="3:8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t="shared" ref="H29:H37" si="0">H28+TEXT($U$11*($X$11/1440)+($AI$11/1440)+($AW$11/1440),"hh:mm")</f>
        <v>0.72638888888888886</v>
      </c>
      <c r="I29" s="343"/>
      <c r="J29" s="343"/>
      <c r="K29" s="344"/>
      <c r="L29" s="290" t="str">
        <f>$AC$19</f>
        <v>FC Lindau 1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TSV Elvershausen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>
        <v>5</v>
      </c>
      <c r="BD29" s="228"/>
      <c r="BE29" s="228"/>
      <c r="BF29" s="309">
        <v>2</v>
      </c>
      <c r="BG29" s="309"/>
      <c r="BH29" s="121"/>
    </row>
    <row r="30" spans="3:8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0.73541666666666661</v>
      </c>
      <c r="I30" s="330"/>
      <c r="J30" s="330"/>
      <c r="K30" s="331"/>
      <c r="L30" s="332" t="str">
        <f>$AC$21</f>
        <v>SV Höckelheim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SG Rhume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>
        <v>1</v>
      </c>
      <c r="BD30" s="226"/>
      <c r="BE30" s="226"/>
      <c r="BF30" s="223">
        <v>3</v>
      </c>
      <c r="BG30" s="224"/>
      <c r="BH30" s="121"/>
    </row>
    <row r="31" spans="3:8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0.74444444444444435</v>
      </c>
      <c r="I31" s="343"/>
      <c r="J31" s="343"/>
      <c r="K31" s="344"/>
      <c r="L31" s="290" t="str">
        <f>$D$19</f>
        <v>FC Lindau 2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SV BW Bilshausen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>
        <v>2</v>
      </c>
      <c r="BD31" s="228"/>
      <c r="BE31" s="228"/>
      <c r="BF31" s="309">
        <v>6</v>
      </c>
      <c r="BG31" s="309"/>
      <c r="BH31" s="121"/>
    </row>
    <row r="32" spans="3:8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0.7534722222222221</v>
      </c>
      <c r="I32" s="330"/>
      <c r="J32" s="330"/>
      <c r="K32" s="331"/>
      <c r="L32" s="332" t="str">
        <f>$D$20</f>
        <v>SG Rollshausen/Obernfeld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FC Höherberg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>
        <v>1</v>
      </c>
      <c r="BD32" s="226"/>
      <c r="BE32" s="226"/>
      <c r="BF32" s="223">
        <v>0</v>
      </c>
      <c r="BG32" s="224"/>
      <c r="BH32" s="121"/>
    </row>
    <row r="33" spans="1:13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0.76249999999999984</v>
      </c>
      <c r="I33" s="343"/>
      <c r="J33" s="343"/>
      <c r="K33" s="344"/>
      <c r="L33" s="290" t="str">
        <f>$AC$19</f>
        <v>FC Lindau 1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SV Höckelheim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>
        <v>4</v>
      </c>
      <c r="BD33" s="228"/>
      <c r="BE33" s="228"/>
      <c r="BF33" s="309">
        <v>0</v>
      </c>
      <c r="BG33" s="309"/>
      <c r="BH33" s="121"/>
    </row>
    <row r="34" spans="1:13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0.77152777777777759</v>
      </c>
      <c r="I34" s="330"/>
      <c r="J34" s="330"/>
      <c r="K34" s="331"/>
      <c r="L34" s="332" t="str">
        <f>$AC$20</f>
        <v>TSV Elvershausen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SG Rhume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>
        <v>2</v>
      </c>
      <c r="BD34" s="226"/>
      <c r="BE34" s="226"/>
      <c r="BF34" s="223">
        <v>2</v>
      </c>
      <c r="BG34" s="224"/>
      <c r="BH34" s="121"/>
    </row>
    <row r="35" spans="1:13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0.78055555555555534</v>
      </c>
      <c r="I35" s="343"/>
      <c r="J35" s="343"/>
      <c r="K35" s="344"/>
      <c r="L35" s="290" t="str">
        <f>$D$22</f>
        <v>FC Höherberg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FC Lindau 2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>
        <v>6</v>
      </c>
      <c r="BD35" s="228"/>
      <c r="BE35" s="228"/>
      <c r="BF35" s="309">
        <v>1</v>
      </c>
      <c r="BG35" s="309"/>
      <c r="BH35" s="121"/>
    </row>
    <row r="36" spans="1:13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0.78958333333333308</v>
      </c>
      <c r="I36" s="330"/>
      <c r="J36" s="330"/>
      <c r="K36" s="331"/>
      <c r="L36" s="332" t="str">
        <f>$D$21</f>
        <v>SV BW Bilshausen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SG Rollshausen/Obernfeld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>
        <v>2</v>
      </c>
      <c r="BD36" s="226"/>
      <c r="BE36" s="226"/>
      <c r="BF36" s="223">
        <v>2</v>
      </c>
      <c r="BG36" s="224"/>
      <c r="BH36" s="121"/>
    </row>
    <row r="37" spans="1:13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0.79861111111111083</v>
      </c>
      <c r="I37" s="343"/>
      <c r="J37" s="343"/>
      <c r="K37" s="344"/>
      <c r="L37" s="290" t="str">
        <f>$AC$22</f>
        <v>SG Rhume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FC Lindau 1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>
        <v>1</v>
      </c>
      <c r="BD37" s="228"/>
      <c r="BE37" s="228"/>
      <c r="BF37" s="309">
        <v>2</v>
      </c>
      <c r="BG37" s="309"/>
      <c r="BH37" s="121"/>
    </row>
    <row r="38" spans="1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0.80763888888888857</v>
      </c>
      <c r="I38" s="330"/>
      <c r="J38" s="330"/>
      <c r="K38" s="331"/>
      <c r="L38" s="332" t="str">
        <f>$AC$21</f>
        <v>SV Höckelheim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TSV Elvershausen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>
        <v>0</v>
      </c>
      <c r="BD38" s="226"/>
      <c r="BE38" s="226"/>
      <c r="BF38" s="223">
        <v>2</v>
      </c>
      <c r="BG38" s="223"/>
      <c r="BH38" s="121"/>
      <c r="DY38" s="131"/>
      <c r="DZ38" s="131"/>
    </row>
    <row r="39" spans="1:130" s="22" customFormat="1" ht="18" customHeight="1"/>
    <row r="40" spans="1:130" s="22" customFormat="1" ht="20.25" customHeight="1" thickBot="1">
      <c r="K40" s="31" t="s">
        <v>78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1:13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SV BW Bilshausen</v>
      </c>
      <c r="AI41" s="243"/>
      <c r="AJ41" s="244"/>
      <c r="AK41" s="257" t="str">
        <f>M50</f>
        <v>SG Rollshausen/Obernfeld</v>
      </c>
      <c r="AL41" s="243"/>
      <c r="AM41" s="244"/>
      <c r="AN41" s="257" t="str">
        <f>M51</f>
        <v>FC Höherberg</v>
      </c>
      <c r="AO41" s="243"/>
      <c r="AP41" s="244"/>
      <c r="AQ41" s="257" t="str">
        <f>M52</f>
        <v>FC Lindau 2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1:130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130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130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30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130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30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130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94" s="22" customFormat="1" ht="18" customHeight="1">
      <c r="A49" s="122"/>
      <c r="C49" s="298"/>
      <c r="D49" s="298"/>
      <c r="E49" s="298"/>
      <c r="F49" s="298"/>
      <c r="G49" s="298">
        <v>1</v>
      </c>
      <c r="H49" s="298"/>
      <c r="I49" s="298"/>
      <c r="K49" s="240">
        <f>IF(' '!$L$9=0,"",1)</f>
        <v>1</v>
      </c>
      <c r="L49" s="241"/>
      <c r="M49" s="238" t="str">
        <f>IF(' '!$L$9=0,D19,VLOOKUP(' '!B5,' '!$C$5:$O$8,4,0))</f>
        <v>SV BW Bilshausen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2:2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3:0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6:2</v>
      </c>
      <c r="AR49" s="271"/>
      <c r="AS49" s="271"/>
      <c r="AT49" s="271">
        <f>IF(' '!$L$9=0,"",VLOOKUP(' '!B5,' '!$C$5:$O$8,10,0))</f>
        <v>3</v>
      </c>
      <c r="AU49" s="271"/>
      <c r="AV49" s="364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1</v>
      </c>
      <c r="BA49" s="272"/>
      <c r="BB49" s="272"/>
      <c r="BC49" s="272">
        <f>IF(' '!$L$9=0,"",VLOOKUP(' '!B5,' '!$C$5:$O$8,13,0))</f>
        <v>0</v>
      </c>
      <c r="BD49" s="272"/>
      <c r="BE49" s="272"/>
      <c r="BF49" s="360">
        <f>IF(' '!$L$9=0,"",VLOOKUP(' '!B5,' '!$C$5:$O$8,5,0))</f>
        <v>11</v>
      </c>
      <c r="BG49" s="360"/>
      <c r="BH49" s="123" t="str">
        <f>IF(' '!$L$9=0,"",":")</f>
        <v>:</v>
      </c>
      <c r="BI49" s="361">
        <f>IF(' '!$L$9=0,"",VLOOKUP(' '!B5,' '!$C$5:$O$8,6,0))</f>
        <v>4</v>
      </c>
      <c r="BJ49" s="272"/>
      <c r="BK49" s="372">
        <f>IF(' '!$L$9=0,"",BF49-BI49)</f>
        <v>7</v>
      </c>
      <c r="BL49" s="372"/>
      <c r="BM49" s="373"/>
      <c r="BN49" s="272">
        <f>IF(' '!$L$9=0,"",VLOOKUP(' '!B5,' '!$C$5:$O$8,7,0))</f>
        <v>7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94" s="22" customFormat="1" ht="18" customHeight="1">
      <c r="A50" s="122"/>
      <c r="C50" s="298"/>
      <c r="D50" s="298"/>
      <c r="E50" s="298"/>
      <c r="F50" s="298"/>
      <c r="G50" s="298">
        <v>2</v>
      </c>
      <c r="H50" s="298"/>
      <c r="I50" s="298"/>
      <c r="K50" s="365">
        <f>IF(' '!$L$9=0,"",IF(VLOOKUP(' '!B6,' '!$C$5:$E$8,3,0)=MAX(K$49:K49),"",' '!B6))</f>
        <v>2</v>
      </c>
      <c r="L50" s="366"/>
      <c r="M50" s="236" t="str">
        <f>IF(' '!$L$9=0,D20,VLOOKUP(' '!B6,' '!$C$5:$O$8,4,0))</f>
        <v>SG Rollshausen/Obernfeld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2:2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1:0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3:0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2</v>
      </c>
      <c r="AX50" s="264"/>
      <c r="AY50" s="264"/>
      <c r="AZ50" s="264">
        <f>IF(' '!$L$9=0,"",VLOOKUP(' '!B6,' '!$C$5:$O$8,12,0))</f>
        <v>1</v>
      </c>
      <c r="BA50" s="264"/>
      <c r="BB50" s="264"/>
      <c r="BC50" s="264">
        <f>IF(' '!$L$9=0,"",VLOOKUP(' '!B6,' '!$C$5:$O$8,13,0))</f>
        <v>0</v>
      </c>
      <c r="BD50" s="264"/>
      <c r="BE50" s="264"/>
      <c r="BF50" s="351">
        <f>IF(' '!$L$9=0,"",VLOOKUP(' '!B6,' '!$C$5:$O$8,5,0))</f>
        <v>6</v>
      </c>
      <c r="BG50" s="351"/>
      <c r="BH50" s="124" t="str">
        <f>IF(' '!$L$9=0,"",":")</f>
        <v>:</v>
      </c>
      <c r="BI50" s="347">
        <f>IF(' '!$L$9=0,"",VLOOKUP(' '!B6,' '!$C$5:$O$8,6,0))</f>
        <v>2</v>
      </c>
      <c r="BJ50" s="264"/>
      <c r="BK50" s="348">
        <f>IF(' '!$L$9=0,"",BF50-BI50)</f>
        <v>4</v>
      </c>
      <c r="BL50" s="348"/>
      <c r="BM50" s="349"/>
      <c r="BN50" s="264">
        <f>IF(' '!$L$9=0,"",VLOOKUP(' '!B6,' '!$C$5:$O$8,7,0))</f>
        <v>7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94" s="22" customFormat="1" ht="18" customHeight="1">
      <c r="A51" s="122"/>
      <c r="B51" s="21"/>
      <c r="C51" s="298"/>
      <c r="D51" s="298"/>
      <c r="E51" s="298"/>
      <c r="F51" s="298"/>
      <c r="G51" s="298">
        <v>3</v>
      </c>
      <c r="H51" s="298"/>
      <c r="I51" s="298"/>
      <c r="K51" s="365">
        <f>IF(' '!$L$9=0,"",IF(VLOOKUP(' '!B7,' '!$C$5:$E$8,3,0)=MAX(K$49:K50),"",' '!B7))</f>
        <v>3</v>
      </c>
      <c r="L51" s="366"/>
      <c r="M51" s="236" t="str">
        <f>IF(' '!$L$9=0,D21,VLOOKUP(' '!B7,' '!$C$5:$O$8,4,0))</f>
        <v>FC Höherberg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0:3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0:1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6:1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1</v>
      </c>
      <c r="AX51" s="264"/>
      <c r="AY51" s="264"/>
      <c r="AZ51" s="264">
        <f>IF(' '!$L$9=0,"",VLOOKUP(' '!B7,' '!$C$5:$O$8,12,0))</f>
        <v>0</v>
      </c>
      <c r="BA51" s="264"/>
      <c r="BB51" s="264"/>
      <c r="BC51" s="264">
        <f>IF(' '!$L$9=0,"",VLOOKUP(' '!B7,' '!$C$5:$O$8,13,0))</f>
        <v>2</v>
      </c>
      <c r="BD51" s="264"/>
      <c r="BE51" s="264"/>
      <c r="BF51" s="351">
        <f>IF(' '!$L$9=0,"",VLOOKUP(' '!B7,' '!$C$5:$O$8,5,0))</f>
        <v>6</v>
      </c>
      <c r="BG51" s="351"/>
      <c r="BH51" s="124" t="str">
        <f>IF(' '!$L$9=0,"",":")</f>
        <v>:</v>
      </c>
      <c r="BI51" s="347">
        <f>IF(' '!$L$9=0,"",VLOOKUP(' '!B7,' '!$C$5:$O$8,6,0))</f>
        <v>5</v>
      </c>
      <c r="BJ51" s="264"/>
      <c r="BK51" s="348">
        <f>IF(' '!$L$9=0,"",BF51-BI51)</f>
        <v>1</v>
      </c>
      <c r="BL51" s="348"/>
      <c r="BM51" s="349"/>
      <c r="BN51" s="264">
        <f>IF(' '!$L$9=0,"",VLOOKUP(' '!B7,' '!$C$5:$O$8,7,0))</f>
        <v>3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94" s="22" customFormat="1" ht="18" customHeight="1" thickBot="1">
      <c r="A52" s="122"/>
      <c r="C52" s="298"/>
      <c r="D52" s="298"/>
      <c r="E52" s="298"/>
      <c r="F52" s="298"/>
      <c r="G52" s="298">
        <v>4</v>
      </c>
      <c r="H52" s="298"/>
      <c r="I52" s="298"/>
      <c r="K52" s="362">
        <f>IF(' '!$L$9=0,"",IF(VLOOKUP(' '!B8,' '!$C$5:$E$8,3,0)=MAX(K$49:K51),"",' '!B8))</f>
        <v>4</v>
      </c>
      <c r="L52" s="363"/>
      <c r="M52" s="234" t="str">
        <f>IF(' '!$L$9=0,D22,VLOOKUP(' '!B8,' '!$C$5:$O$8,4,0))</f>
        <v>FC Lindau 2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2:6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0:3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1:6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0</v>
      </c>
      <c r="BA52" s="263"/>
      <c r="BB52" s="263"/>
      <c r="BC52" s="263">
        <f>IF(' '!$L$9=0,"",VLOOKUP(' '!B8,' '!$C$5:$O$8,13,0))</f>
        <v>3</v>
      </c>
      <c r="BD52" s="263"/>
      <c r="BE52" s="263"/>
      <c r="BF52" s="357">
        <f>IF(' '!$L$9=0,"",VLOOKUP(' '!B8,' '!$C$5:$O$8,5,0))</f>
        <v>3</v>
      </c>
      <c r="BG52" s="357"/>
      <c r="BH52" s="125" t="str">
        <f>IF(' '!$L$9=0,"",":")</f>
        <v>:</v>
      </c>
      <c r="BI52" s="358">
        <f>IF(' '!$L$9=0,"",VLOOKUP(' '!B8,' '!$C$5:$O$8,6,0))</f>
        <v>15</v>
      </c>
      <c r="BJ52" s="263"/>
      <c r="BK52" s="376">
        <f>IF(' '!$L$9=0,"",BF52-BI52)</f>
        <v>-12</v>
      </c>
      <c r="BL52" s="376"/>
      <c r="BM52" s="377"/>
      <c r="BN52" s="263">
        <f>IF(' '!$L$9=0,"",VLOOKUP(' '!B8,' '!$C$5:$O$8,7,0))</f>
        <v>0</v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94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94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FC Lindau 1</v>
      </c>
      <c r="AI54" s="251"/>
      <c r="AJ54" s="251"/>
      <c r="AK54" s="251" t="str">
        <f>M63</f>
        <v>SG Rhume</v>
      </c>
      <c r="AL54" s="251"/>
      <c r="AM54" s="251"/>
      <c r="AN54" s="251" t="str">
        <f>M64</f>
        <v>TSV Elvershausen</v>
      </c>
      <c r="AO54" s="251"/>
      <c r="AP54" s="251"/>
      <c r="AQ54" s="251" t="str">
        <f>M65</f>
        <v>SV Höckelheim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1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1:94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1:94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1:94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94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1:94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1:94" s="22" customFormat="1" ht="18" customHeight="1">
      <c r="B62" s="27"/>
      <c r="C62" s="298"/>
      <c r="D62" s="298"/>
      <c r="E62" s="298"/>
      <c r="F62" s="298"/>
      <c r="G62" s="298">
        <v>1</v>
      </c>
      <c r="H62" s="298"/>
      <c r="I62" s="298"/>
      <c r="K62" s="240">
        <f>IF(' '!$L$18=0,"",1)</f>
        <v>1</v>
      </c>
      <c r="L62" s="241"/>
      <c r="M62" s="238" t="str">
        <f>IF(' '!$L$18=0,AC19,VLOOKUP(' '!B14,' '!$C$14:$O$17,4,0))</f>
        <v>FC Lindau 1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2:1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5:2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4:0</v>
      </c>
      <c r="AR62" s="271"/>
      <c r="AS62" s="271"/>
      <c r="AT62" s="271">
        <f>IF(' '!$L$18=0,"",VLOOKUP(' '!B14,' '!$C$14:$O$17,10,0))</f>
        <v>3</v>
      </c>
      <c r="AU62" s="271"/>
      <c r="AV62" s="364"/>
      <c r="AW62" s="359">
        <f>IF(' '!$L$18=0,"",VLOOKUP(' '!B14,' '!$C$14:$O$17,11,0))</f>
        <v>3</v>
      </c>
      <c r="AX62" s="360"/>
      <c r="AY62" s="361"/>
      <c r="AZ62" s="359">
        <f>IF(' '!$L$18=0,"",VLOOKUP(' '!B14,' '!$C$14:$O$17,12,0))</f>
        <v>0</v>
      </c>
      <c r="BA62" s="360"/>
      <c r="BB62" s="361"/>
      <c r="BC62" s="359">
        <f>IF(' '!$L$18=0,"",VLOOKUP(' '!B14,' '!$C$14:$O$17,13,0))</f>
        <v>0</v>
      </c>
      <c r="BD62" s="360"/>
      <c r="BE62" s="361"/>
      <c r="BF62" s="360">
        <f>IF(' '!$L$18=0,"",VLOOKUP(' '!B14,' '!$C$14:$O$17,5,0))</f>
        <v>11</v>
      </c>
      <c r="BG62" s="360"/>
      <c r="BH62" s="123" t="str">
        <f>IF(' '!$L$18=0,"",":")</f>
        <v>:</v>
      </c>
      <c r="BI62" s="361">
        <f>IF(' '!$L$18=0,"",VLOOKUP(' '!B14,' '!$C$14:$O$17,6,0))</f>
        <v>3</v>
      </c>
      <c r="BJ62" s="272"/>
      <c r="BK62" s="372">
        <f>IF(' '!$L$18=0,"",BF62-BI62)</f>
        <v>8</v>
      </c>
      <c r="BL62" s="372"/>
      <c r="BM62" s="373"/>
      <c r="BN62" s="359">
        <f>IF(' '!$L$18=0,"",VLOOKUP(' '!B14,' '!$C$14:$O$17,7,0))</f>
        <v>9</v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1:94" s="22" customFormat="1" ht="18" customHeight="1">
      <c r="C63" s="298"/>
      <c r="D63" s="298"/>
      <c r="E63" s="298"/>
      <c r="F63" s="298"/>
      <c r="G63" s="298">
        <v>2</v>
      </c>
      <c r="H63" s="298"/>
      <c r="I63" s="298"/>
      <c r="J63" s="21"/>
      <c r="K63" s="365">
        <f>IF(' '!$L$18=0,"",IF(VLOOKUP(' '!B15,' '!$C$14:$E$17,3,0)=MAX(K$62:K62),"",' '!B15))</f>
        <v>2</v>
      </c>
      <c r="L63" s="366"/>
      <c r="M63" s="236" t="str">
        <f>IF(' '!$L$18=0,AC20,VLOOKUP(' '!B15,' '!$C$14:$O$17,4,0))</f>
        <v>SG Rhume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1:2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2:2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3:1</v>
      </c>
      <c r="AR63" s="267"/>
      <c r="AS63" s="267"/>
      <c r="AT63" s="267">
        <f>IF(' '!$L$18=0,"",VLOOKUP(' '!B15,' '!$C$14:$O$17,10,0))</f>
        <v>3</v>
      </c>
      <c r="AU63" s="267"/>
      <c r="AV63" s="273"/>
      <c r="AW63" s="350">
        <f>IF(' '!$L$18=0,"",VLOOKUP(' '!B15,' '!$C$14:$O$17,11,0))</f>
        <v>1</v>
      </c>
      <c r="AX63" s="351"/>
      <c r="AY63" s="347"/>
      <c r="AZ63" s="350">
        <f>IF(' '!$L$18=0,"",VLOOKUP(' '!B15,' '!$C$14:$O$17,12,0))</f>
        <v>1</v>
      </c>
      <c r="BA63" s="351"/>
      <c r="BB63" s="347"/>
      <c r="BC63" s="350">
        <f>IF(' '!$L$18=0,"",VLOOKUP(' '!B15,' '!$C$14:$O$17,13,0))</f>
        <v>1</v>
      </c>
      <c r="BD63" s="351"/>
      <c r="BE63" s="347"/>
      <c r="BF63" s="351">
        <f>IF(' '!$L$18=0,"",VLOOKUP(' '!B15,' '!$C$14:$O$17,5,0))</f>
        <v>6</v>
      </c>
      <c r="BG63" s="351"/>
      <c r="BH63" s="124" t="str">
        <f>IF(' '!$L$18=0,"",":")</f>
        <v>:</v>
      </c>
      <c r="BI63" s="347">
        <f>IF(' '!$L$18=0,"",VLOOKUP(' '!B15,' '!$C$14:$O$17,6,0))</f>
        <v>5</v>
      </c>
      <c r="BJ63" s="264"/>
      <c r="BK63" s="348">
        <f>IF(' '!$L$18=0,"",BF63-BI63)</f>
        <v>1</v>
      </c>
      <c r="BL63" s="348"/>
      <c r="BM63" s="349"/>
      <c r="BN63" s="350">
        <f>IF(' '!$L$18=0,"",VLOOKUP(' '!B15,' '!$C$14:$O$17,7,0))</f>
        <v>4</v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1:94" s="22" customFormat="1" ht="18" customHeight="1">
      <c r="C64" s="298"/>
      <c r="D64" s="298"/>
      <c r="E64" s="298"/>
      <c r="F64" s="298"/>
      <c r="G64" s="298">
        <v>3</v>
      </c>
      <c r="H64" s="298"/>
      <c r="I64" s="298"/>
      <c r="K64" s="365">
        <f>IF(' '!$L$18=0,"",IF(VLOOKUP(' '!B16,' '!$C$14:$E$17,3,0)=MAX(K$62:K63),"",' '!B16))</f>
        <v>3</v>
      </c>
      <c r="L64" s="366"/>
      <c r="M64" s="236" t="str">
        <f>IF(' '!$L$18=0,AC21,VLOOKUP(' '!B16,' '!$C$14:$O$17,4,0))</f>
        <v>TSV Elvershausen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2:5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2:2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2:0</v>
      </c>
      <c r="AR64" s="267"/>
      <c r="AS64" s="267"/>
      <c r="AT64" s="267">
        <f>IF(' '!$L$18=0,"",VLOOKUP(' '!B16,' '!$C$14:$O$17,10,0))</f>
        <v>3</v>
      </c>
      <c r="AU64" s="267"/>
      <c r="AV64" s="273"/>
      <c r="AW64" s="350">
        <f>IF(' '!$L$18=0,"",VLOOKUP(' '!B16,' '!$C$14:$O$17,11,0))</f>
        <v>1</v>
      </c>
      <c r="AX64" s="351"/>
      <c r="AY64" s="347"/>
      <c r="AZ64" s="350">
        <f>IF(' '!$L$18=0,"",VLOOKUP(' '!B16,' '!$C$14:$O$17,12,0))</f>
        <v>1</v>
      </c>
      <c r="BA64" s="351"/>
      <c r="BB64" s="347"/>
      <c r="BC64" s="350">
        <f>IF(' '!$L$18=0,"",VLOOKUP(' '!B16,' '!$C$14:$O$17,13,0))</f>
        <v>1</v>
      </c>
      <c r="BD64" s="351"/>
      <c r="BE64" s="347"/>
      <c r="BF64" s="351">
        <f>IF(' '!$L$18=0,"",VLOOKUP(' '!B16,' '!$C$14:$O$17,5,0))</f>
        <v>6</v>
      </c>
      <c r="BG64" s="351"/>
      <c r="BH64" s="124" t="str">
        <f>IF(' '!$L$18=0,"",":")</f>
        <v>:</v>
      </c>
      <c r="BI64" s="347">
        <f>IF(' '!$L$18=0,"",VLOOKUP(' '!B16,' '!$C$14:$O$17,6,0))</f>
        <v>7</v>
      </c>
      <c r="BJ64" s="264"/>
      <c r="BK64" s="348">
        <f>IF(' '!$L$18=0,"",BF64-BI64)</f>
        <v>-1</v>
      </c>
      <c r="BL64" s="348"/>
      <c r="BM64" s="349"/>
      <c r="BN64" s="350">
        <f>IF(' '!$L$18=0,"",VLOOKUP(' '!B16,' '!$C$14:$O$17,7,0))</f>
        <v>4</v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2:94" s="22" customFormat="1" ht="18" customHeight="1" thickBot="1">
      <c r="C65" s="298"/>
      <c r="D65" s="298"/>
      <c r="E65" s="298"/>
      <c r="F65" s="298"/>
      <c r="G65" s="298">
        <v>4</v>
      </c>
      <c r="H65" s="298"/>
      <c r="I65" s="298"/>
      <c r="K65" s="362">
        <f>IF(' '!$L$18=0,"",IF(VLOOKUP(' '!B17,' '!$C$14:$E$17,3,0)=MAX(K$62:K64),"",' '!B17))</f>
        <v>4</v>
      </c>
      <c r="L65" s="363"/>
      <c r="M65" s="234" t="str">
        <f>IF(' '!$L$18=0,AC22,VLOOKUP(' '!B17,' '!$C$14:$O$17,4,0))</f>
        <v>SV Höckelheim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0:4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1:3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0:2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6">
        <f>IF(' '!$L$18=0,"",VLOOKUP(' '!B17,' '!$C$14:$O$17,11,0))</f>
        <v>0</v>
      </c>
      <c r="AX65" s="357"/>
      <c r="AY65" s="358"/>
      <c r="AZ65" s="356">
        <f>IF(' '!$L$18=0,"",VLOOKUP(' '!B17,' '!$C$14:$O$17,12,0))</f>
        <v>0</v>
      </c>
      <c r="BA65" s="357"/>
      <c r="BB65" s="358"/>
      <c r="BC65" s="356">
        <f>IF(' '!$L$18=0,"",VLOOKUP(' '!B17,' '!$C$14:$O$17,13,0))</f>
        <v>3</v>
      </c>
      <c r="BD65" s="357"/>
      <c r="BE65" s="358"/>
      <c r="BF65" s="354">
        <f>IF(' '!$L$18=0,"",VLOOKUP(' '!B17,' '!$C$14:$O$17,5,0))</f>
        <v>1</v>
      </c>
      <c r="BG65" s="354"/>
      <c r="BH65" s="137" t="str">
        <f>IF(' '!$L$18=0,"",":")</f>
        <v>:</v>
      </c>
      <c r="BI65" s="352">
        <f>IF(' '!$L$18=0,"",VLOOKUP(' '!B17,' '!$C$14:$O$17,6,0))</f>
        <v>9</v>
      </c>
      <c r="BJ65" s="353"/>
      <c r="BK65" s="345">
        <f>IF(' '!$L$18=0,"",BF65-BI65)</f>
        <v>-8</v>
      </c>
      <c r="BL65" s="345"/>
      <c r="BM65" s="346"/>
      <c r="BN65" s="356">
        <f>IF(' '!$L$18=0,"",VLOOKUP(' '!B17,' '!$C$14:$O$17,7,0))</f>
        <v>0</v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2:94" s="22" customFormat="1" ht="20.100000000000001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spans="2:94"/>
    <row r="68" spans="2:94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94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94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0.82499999999999973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12</v>
      </c>
      <c r="Y70" s="419"/>
      <c r="Z70" s="419"/>
      <c r="AA70" s="419"/>
      <c r="AB70" s="419"/>
      <c r="AC70" s="420" t="str">
        <f>AC14</f>
        <v/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1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94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94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94" ht="18" customHeight="1">
      <c r="B73" s="22"/>
      <c r="C73" s="317">
        <v>13</v>
      </c>
      <c r="D73" s="318"/>
      <c r="E73" s="396">
        <f>$H$14</f>
        <v>0.82499999999999973</v>
      </c>
      <c r="F73" s="396"/>
      <c r="G73" s="396"/>
      <c r="H73" s="396"/>
      <c r="I73" s="316" t="str">
        <f>IF(OR(' '!L9=0,' '!B9&lt;&gt;SUM(AT49:AV52)),"",IF(OR(G49=1,G50=1,G51=1,G52=1),VLOOKUP(SMALL($G$49:$I$52,1),$G$49:$AG$52,7,0),IF(AND(SUM(AT49:AV52)=' '!B9,' '!E9=1),M49,"1. Platz Gruppe A nicht eindeutig")))</f>
        <v>SV BW Bilshausen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 t="str">
        <f>IF(OR(' '!L18=0,' '!B18&lt;&gt;SUM(AT62:AV65)),"",IF(OR(G62=2,G63=2,G64=2,G65=2),VLOOKUP(SMALL($G$62:$I$65,2),$G$62:$AG$65,7,0),IF(AND(SUM(AT62:AV65)=' '!B18,' '!E19=1),M63,"2. Platz Gruppe B nicht eindeutig")))</f>
        <v>SG Rhume</v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>
        <v>8</v>
      </c>
      <c r="BA73" s="386"/>
      <c r="BB73" s="307"/>
      <c r="BC73" s="310">
        <v>7</v>
      </c>
      <c r="BD73" s="310"/>
      <c r="BE73" s="214" t="s">
        <v>58</v>
      </c>
      <c r="BF73" s="215"/>
      <c r="BG73" s="215"/>
      <c r="BH73" s="216"/>
    </row>
    <row r="74" spans="2:94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94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94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94" ht="18" customHeight="1">
      <c r="B77" s="22"/>
      <c r="C77" s="317">
        <v>14</v>
      </c>
      <c r="D77" s="318"/>
      <c r="E77" s="396">
        <f>E73+TEXT($U$14*($X$14/1440)+($AI$14/1440)+($AW$14/1440),"hh:mm")</f>
        <v>0.83402777777777748</v>
      </c>
      <c r="F77" s="396"/>
      <c r="G77" s="396"/>
      <c r="H77" s="396"/>
      <c r="I77" s="316" t="str">
        <f>IF(OR(' '!L18=0,' '!B18&lt;&gt;SUM(AT62:AV65)),"",IF(OR(G62=1,G63=1,G64=1,G65=1),VLOOKUP(SMALL($G$62:$I$65,1),$G$62:$AG$65,7,0),IF(AND(SUM(AT62:AV65)=' '!B18,' '!E18=1),M62,"1. Platz Gruppe B nicht eindeutig")))</f>
        <v>FC Lindau 1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 t="str">
        <f>IF(OR(' '!L9=0,' '!B9&lt;&gt;SUM(AT49:AV52)),"",IF(OR(G49=2,G50=2,G51=2,G52=2),VLOOKUP(SMALL($G$49:$I$52,2),$G$49:$AG$52,7,0),IF(AND(SUM(AT49:AV52)=' '!B9,' '!E10=1),M50,"2. Platz Gruppe A nicht eindeutig")))</f>
        <v>SG Rollshausen/Obernfeld</v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>
        <v>2</v>
      </c>
      <c r="BA77" s="386"/>
      <c r="BB77" s="307"/>
      <c r="BC77" s="310">
        <v>1</v>
      </c>
      <c r="BD77" s="310"/>
      <c r="BE77" s="214"/>
      <c r="BF77" s="215"/>
      <c r="BG77" s="215"/>
      <c r="BH77" s="216"/>
    </row>
    <row r="78" spans="2:94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94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94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91" ht="18" customHeight="1">
      <c r="B81" s="22"/>
      <c r="C81" s="317">
        <v>15</v>
      </c>
      <c r="D81" s="318"/>
      <c r="E81" s="396">
        <f>E77+TEXT($U$14*($X$14/1440)+($AI$14/1440)+($AW$14/1440),"hh:mm")</f>
        <v>0.84305555555555522</v>
      </c>
      <c r="F81" s="396"/>
      <c r="G81" s="396"/>
      <c r="H81" s="396"/>
      <c r="I81" s="316" t="str">
        <f>IF(OR(' '!L9=0,' '!B9&lt;&gt;SUM(AT49:AV52)),"",IF(OR(G49=4,G50=4,G51=4,G52=4),VLOOKUP(SMALL($G$49:$I$52,4),$G$49:$AG$52,7,0),IF(AND(SUM(AT49:AV52)=' '!B9,' '!E12=1),M52,"4. Platz Gruppe A nicht eindeutig")))</f>
        <v>FC Lindau 2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 t="str">
        <f>IF(OR(' '!L18=0,' '!B18&lt;&gt;SUM(AT62:AV65)),"",IF(OR(G62=4,G63=4,G64=4,G65=4),VLOOKUP(SMALL($G$62:$I$65,4),$G$62:$AG$65,7,0),IF(AND(SUM(AT62:AV65)=' '!B18,' '!E21=1),M65,"4. Platz Gruppe B nicht eindeutig")))</f>
        <v>SV Höckelheim</v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>
        <v>1</v>
      </c>
      <c r="BA81" s="386"/>
      <c r="BB81" s="307"/>
      <c r="BC81" s="310">
        <v>6</v>
      </c>
      <c r="BD81" s="310"/>
      <c r="BE81" s="214"/>
      <c r="BF81" s="215"/>
      <c r="BG81" s="215"/>
      <c r="BH81" s="216"/>
    </row>
    <row r="82" spans="2:91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91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91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91" s="36" customFormat="1" ht="18" customHeight="1">
      <c r="B85" s="22"/>
      <c r="C85" s="317">
        <v>16</v>
      </c>
      <c r="D85" s="318"/>
      <c r="E85" s="396">
        <f>E81+TEXT($U$14*($X$14/1440)+($AI$14/1440)+($AW$14/1440),"hh:mm")</f>
        <v>0.85208333333333297</v>
      </c>
      <c r="F85" s="396"/>
      <c r="G85" s="396"/>
      <c r="H85" s="396"/>
      <c r="I85" s="316" t="str">
        <f>IF(OR(' '!L9=0,' '!B9&lt;&gt;SUM(AT49:AV52)),"",IF(OR(G49=3,G50=3,G51=3,G52=3),VLOOKUP(SMALL($G$49:$I$52,3),$G$49:$AG$52,7,0),IF(AND(SUM(AT49:AV52)=' '!B9,' '!E11=1),M51,"3. Platz Gruppe A nicht eindeutig")))</f>
        <v>FC Höherberg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 t="str">
        <f>IF(OR(' '!L18=0,' '!B18&lt;&gt;SUM(AT62:AV65)),"",IF(OR(G62=3,G63=3,G64=3,G65=3),VLOOKUP(SMALL($G$62:$I$65,3),$G$62:$AG$65,7,0),IF(AND(SUM(AT62:AV65)=' '!B18,' '!E20=1),M64,"3. Platz Gruppe B nicht eindeutig")))</f>
        <v>TSV Elvershausen</v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>
        <v>2</v>
      </c>
      <c r="BA85" s="386"/>
      <c r="BB85" s="307"/>
      <c r="BC85" s="310">
        <v>0</v>
      </c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0.86111111111111072</v>
      </c>
      <c r="F89" s="396"/>
      <c r="G89" s="396"/>
      <c r="H89" s="396"/>
      <c r="I89" s="316" t="str">
        <f>IF(ISBLANK(AZ73)," ",IF(AZ73&lt;BC73,I73,IF(AZ73&lt;BC73,AE73,AE73)))</f>
        <v>SG Rhume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SG Rollshausen/Obernfeld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>
        <v>5</v>
      </c>
      <c r="BA89" s="386"/>
      <c r="BB89" s="307"/>
      <c r="BC89" s="310">
        <v>0</v>
      </c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0.87013888888888846</v>
      </c>
      <c r="F93" s="396"/>
      <c r="G93" s="396"/>
      <c r="H93" s="396"/>
      <c r="I93" s="316" t="str">
        <f>IF(ISBLANK(AZ73)," ",IF(AZ73&gt;BC73,I73,IF(AZ73&lt;BC73,AE73," ")))</f>
        <v>SV BW Bilshausen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FC Lindau 1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>
        <v>1</v>
      </c>
      <c r="BA93" s="386"/>
      <c r="BB93" s="307"/>
      <c r="BC93" s="310">
        <v>4</v>
      </c>
      <c r="BD93" s="310"/>
      <c r="BE93" s="214"/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20.100000000000001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FC Lindau 1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91" s="36" customFormat="1" ht="20.100000000000001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SV BW Bilshausen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91" s="36" customFormat="1" ht="20.100000000000001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SG Rhume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91" s="36" customFormat="1" ht="20.100000000000001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SG Rollshausen/Obernfeld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91" s="36" customFormat="1" ht="20.100000000000001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FC Höherberg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91" s="36" customFormat="1" ht="20.100000000000001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TSV Elvershausen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91" s="36" customFormat="1" ht="20.100000000000001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SV Höckelheim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91" s="36" customFormat="1" ht="20.100000000000001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FC Lindau 2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91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2:91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91" s="36" customFormat="1">
      <c r="B108" s="195" t="s">
        <v>66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91" s="36" customFormat="1">
      <c r="B109" s="196" t="s">
        <v>67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91" s="36" customFormat="1">
      <c r="B110" s="196" t="s">
        <v>68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91" s="36" customFormat="1">
      <c r="B111" s="196" t="s">
        <v>69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91" s="36" customFormat="1">
      <c r="B112" s="194" t="s">
        <v>70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>
      <c r="B113" s="193" t="s">
        <v>71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>
      <c r="B114" s="193" t="s">
        <v>72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>
      <c r="B115" s="193" t="s">
        <v>73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>
      <c r="B116" s="193" t="s">
        <v>74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2:86" s="36" customFormat="1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2:86" s="36" customFormat="1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2:86" s="36" customFormat="1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2:86" s="36" customFormat="1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2:86" s="36" customFormat="1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2:86" s="36" customFormat="1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2:86" s="36" customFormat="1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2:86" s="36" customFormat="1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2:86" s="36" customFormat="1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2:86" s="36" customFormat="1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2:86" s="36" customFormat="1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2:86" s="36" customFormat="1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2:86" s="36" customFormat="1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2:86" s="36" customFormat="1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2:86" s="36" customFormat="1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2:86" s="36" customFormat="1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2:86" s="36" customFormat="1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2:86" s="36" customFormat="1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2:86" s="36" customFormat="1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2:86" s="36" customFormat="1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2:86" s="36" customFormat="1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2:86" s="36" customFormat="1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2:86" s="36" customFormat="1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spans="2:86" hidden="1"/>
    <row r="399" spans="2:86" hidden="1"/>
    <row r="400" spans="2:86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</sheetData>
  <sheetProtection sheet="1" scenarios="1" selectLockedCells="1"/>
  <mergeCells count="408">
    <mergeCell ref="J105:K105"/>
    <mergeCell ref="J104:K104"/>
    <mergeCell ref="J103:K103"/>
    <mergeCell ref="J102:K102"/>
    <mergeCell ref="J101:K101"/>
    <mergeCell ref="J100:K100"/>
    <mergeCell ref="AW14:BA14"/>
    <mergeCell ref="J99:K99"/>
    <mergeCell ref="J98:K98"/>
    <mergeCell ref="H14:K14"/>
    <mergeCell ref="U14:V14"/>
    <mergeCell ref="X14:AB14"/>
    <mergeCell ref="H26:K26"/>
    <mergeCell ref="X70:AB70"/>
    <mergeCell ref="AC70:AH70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5:BH85"/>
    <mergeCell ref="L34:AF34"/>
    <mergeCell ref="L35:AF35"/>
    <mergeCell ref="BC32:BE32"/>
    <mergeCell ref="BF35:BG35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C30:BE30"/>
    <mergeCell ref="BC33:BE33"/>
    <mergeCell ref="H34:K34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AE94:AY94"/>
    <mergeCell ref="I92:AY92"/>
    <mergeCell ref="I89:AC89"/>
    <mergeCell ref="E76:H76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94:BH94"/>
    <mergeCell ref="BE93:BH93"/>
    <mergeCell ref="BE92:BH92"/>
    <mergeCell ref="BE90:BH90"/>
    <mergeCell ref="BE88:BH88"/>
    <mergeCell ref="BE86:BH86"/>
    <mergeCell ref="I72:AY72"/>
    <mergeCell ref="AZ93:BB93"/>
    <mergeCell ref="AZ94:BD94"/>
    <mergeCell ref="AZ90:BD90"/>
    <mergeCell ref="AZ89:BB89"/>
    <mergeCell ref="BC89:BD89"/>
    <mergeCell ref="AZ74:BD74"/>
    <mergeCell ref="BC73:BD73"/>
    <mergeCell ref="AZ85:BB85"/>
    <mergeCell ref="BC85:BD85"/>
    <mergeCell ref="AZ86:BD86"/>
    <mergeCell ref="AE78:AY78"/>
    <mergeCell ref="I80:AY80"/>
    <mergeCell ref="C61:F61"/>
    <mergeCell ref="G61:I61"/>
    <mergeCell ref="K61:AG61"/>
    <mergeCell ref="C52:F52"/>
    <mergeCell ref="AZ73:BB73"/>
    <mergeCell ref="G62:I62"/>
    <mergeCell ref="G52:I52"/>
    <mergeCell ref="I73:AC73"/>
    <mergeCell ref="I74:AC74"/>
    <mergeCell ref="AE77:AY77"/>
    <mergeCell ref="AE73:AY73"/>
    <mergeCell ref="AZ78:BD78"/>
    <mergeCell ref="BC77:BD77"/>
    <mergeCell ref="AZ77:BB77"/>
    <mergeCell ref="C65:F65"/>
    <mergeCell ref="C64:F64"/>
    <mergeCell ref="E72:H72"/>
    <mergeCell ref="E73:H74"/>
    <mergeCell ref="AE85:AY85"/>
    <mergeCell ref="AE81:AY81"/>
    <mergeCell ref="I84:AY84"/>
    <mergeCell ref="AE82:AY82"/>
    <mergeCell ref="G49:I49"/>
    <mergeCell ref="G64:I64"/>
    <mergeCell ref="G63:I63"/>
    <mergeCell ref="I81:AC81"/>
    <mergeCell ref="AE74:AY74"/>
    <mergeCell ref="G51:I51"/>
    <mergeCell ref="G50:I50"/>
    <mergeCell ref="K51:L51"/>
    <mergeCell ref="BN65:BP65"/>
    <mergeCell ref="BK62:BM62"/>
    <mergeCell ref="BI62:BJ62"/>
    <mergeCell ref="BF62:BG62"/>
    <mergeCell ref="BN63:BP63"/>
    <mergeCell ref="BN64:BP64"/>
    <mergeCell ref="K49:L49"/>
    <mergeCell ref="AW64:AY64"/>
    <mergeCell ref="AZ82:BD82"/>
    <mergeCell ref="BE80:BH80"/>
    <mergeCell ref="BE78:BH78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2:BP52"/>
    <mergeCell ref="BI52:BJ52"/>
    <mergeCell ref="BK52:BM52"/>
    <mergeCell ref="BK51:BM51"/>
    <mergeCell ref="BI51:BJ51"/>
    <mergeCell ref="BF52:BG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BK49:BM49"/>
    <mergeCell ref="BK50:BM50"/>
    <mergeCell ref="BN50:BP50"/>
    <mergeCell ref="BN51:BP51"/>
    <mergeCell ref="BN61:BP61"/>
    <mergeCell ref="BF61:BJ61"/>
    <mergeCell ref="BK61:BM61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AT48:AV48"/>
    <mergeCell ref="AW48:AY48"/>
    <mergeCell ref="AZ48:BB48"/>
    <mergeCell ref="BC48:BE48"/>
    <mergeCell ref="AW49:AY49"/>
    <mergeCell ref="AW51:AY51"/>
    <mergeCell ref="AT49:AV49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5:BE65"/>
    <mergeCell ref="AZ65:BB65"/>
    <mergeCell ref="BC63:BE63"/>
    <mergeCell ref="AZ64:BB64"/>
    <mergeCell ref="AT63:AV63"/>
    <mergeCell ref="BF63:BG63"/>
    <mergeCell ref="BI64:BJ64"/>
    <mergeCell ref="BF64:BG64"/>
    <mergeCell ref="AW65:AY65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AZ62:BB62"/>
    <mergeCell ref="AZ61:BB61"/>
    <mergeCell ref="K65:L65"/>
    <mergeCell ref="AT62:AV62"/>
    <mergeCell ref="G65:I65"/>
    <mergeCell ref="AN62:AP62"/>
    <mergeCell ref="AK65:AM65"/>
    <mergeCell ref="AK62:AM62"/>
    <mergeCell ref="AK64:AM64"/>
    <mergeCell ref="AK63:AM63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32:D32"/>
    <mergeCell ref="C60:I60"/>
    <mergeCell ref="C62:F62"/>
    <mergeCell ref="BC36:BE36"/>
    <mergeCell ref="BF36:BG36"/>
    <mergeCell ref="BC37:BE37"/>
    <mergeCell ref="BF38:BG38"/>
    <mergeCell ref="BC38:BE38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H38:K38"/>
    <mergeCell ref="L38:AF38"/>
    <mergeCell ref="L37:AF37"/>
    <mergeCell ref="L36:AF36"/>
    <mergeCell ref="H70:K70"/>
    <mergeCell ref="AN70:AV70"/>
    <mergeCell ref="AW70:BA70"/>
    <mergeCell ref="BC61:BE61"/>
    <mergeCell ref="BC62:BE62"/>
    <mergeCell ref="BC26:BG26"/>
    <mergeCell ref="BC27:BE27"/>
    <mergeCell ref="BC28:BE28"/>
    <mergeCell ref="BF29:BG29"/>
    <mergeCell ref="BF27:BG27"/>
    <mergeCell ref="BC29:BE29"/>
    <mergeCell ref="BF28:BG28"/>
    <mergeCell ref="BC31:BE31"/>
    <mergeCell ref="BF33:BG33"/>
    <mergeCell ref="BF31:BG31"/>
    <mergeCell ref="BF32:BG32"/>
    <mergeCell ref="AH28:BB28"/>
    <mergeCell ref="AH27:BB27"/>
    <mergeCell ref="L31:AF31"/>
    <mergeCell ref="C28:D28"/>
    <mergeCell ref="C27:D27"/>
    <mergeCell ref="E27:G27"/>
    <mergeCell ref="C30:D30"/>
    <mergeCell ref="C31:D31"/>
    <mergeCell ref="C51:F51"/>
    <mergeCell ref="C47:I47"/>
    <mergeCell ref="G48:I48"/>
    <mergeCell ref="C48:F48"/>
    <mergeCell ref="AH37:BB37"/>
    <mergeCell ref="AH38:BB38"/>
    <mergeCell ref="AH33:BB33"/>
    <mergeCell ref="L33:AF33"/>
    <mergeCell ref="AW50:AY50"/>
    <mergeCell ref="AT50:AV50"/>
    <mergeCell ref="AT51:AV51"/>
    <mergeCell ref="C49:F49"/>
    <mergeCell ref="C50:F50"/>
    <mergeCell ref="L32:AF32"/>
    <mergeCell ref="AH36:BB36"/>
    <mergeCell ref="H35:K35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C18:AW18"/>
    <mergeCell ref="D18:X18"/>
    <mergeCell ref="B14:G14"/>
    <mergeCell ref="AQ65:AS65"/>
    <mergeCell ref="AQ64:AS64"/>
    <mergeCell ref="AQ63:AS63"/>
    <mergeCell ref="AQ62:AS62"/>
    <mergeCell ref="AN65:AP65"/>
    <mergeCell ref="AN64:AP64"/>
    <mergeCell ref="AN63:AP63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H41:AJ48"/>
    <mergeCell ref="AQ54:AS61"/>
    <mergeCell ref="AN54:AP61"/>
    <mergeCell ref="AK54:AM61"/>
    <mergeCell ref="AQ41:AS48"/>
    <mergeCell ref="AN41:AP48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AQ49:AS49"/>
    <mergeCell ref="AN49:AP49"/>
    <mergeCell ref="AK49:AM49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M51:AG51"/>
    <mergeCell ref="M50:AG50"/>
    <mergeCell ref="M49:AG49"/>
    <mergeCell ref="K62:L62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phoneticPr fontId="2" type="noConversion"/>
  <conditionalFormatting sqref="I77 I89 I93 I73 I85 I81 L27:L38">
    <cfRule type="expression" dxfId="83" priority="1" stopIfTrue="1">
      <formula>AND(AZ27&gt;BC27,AZ27&lt;&gt;"",BC27&lt;&gt;"")</formula>
    </cfRule>
    <cfRule type="expression" dxfId="82" priority="2" stopIfTrue="1">
      <formula>AND(AZ27=BC27,AZ27&lt;&gt;"",BC27&lt;&gt;"")</formula>
    </cfRule>
    <cfRule type="expression" dxfId="81" priority="3" stopIfTrue="1">
      <formula>AND(AZ27&lt;BC27,AZ27&lt;&gt;"",BC27&lt;&gt;"")</formula>
    </cfRule>
  </conditionalFormatting>
  <conditionalFormatting sqref="AE77 AE89 AE93 AE73 AE85 AE81 AH27:AH38">
    <cfRule type="expression" dxfId="80" priority="4" stopIfTrue="1">
      <formula>AND(BC27&gt;AZ27,AZ27&lt;&gt;"",BC27&lt;&gt;"")</formula>
    </cfRule>
    <cfRule type="expression" dxfId="79" priority="5" stopIfTrue="1">
      <formula>AND(BC27=AZ27,AZ27&lt;&gt;"",BC27&lt;&gt;"")</formula>
    </cfRule>
    <cfRule type="expression" dxfId="78" priority="6" stopIfTrue="1">
      <formula>AND(BC27&lt;AZ27,AZ27&lt;&gt;"",BC27&lt;&gt;"")</formula>
    </cfRule>
  </conditionalFormatting>
  <conditionalFormatting sqref="BC27:BE38 AZ73:BB73 AZ77:BB77 AZ89:BB89 AZ93:BB93 AZ81:BB81 AZ85:BB85">
    <cfRule type="expression" dxfId="77" priority="7" stopIfTrue="1">
      <formula>AND(BC27&lt;&gt;"",ISBLANK(AZ27))</formula>
    </cfRule>
    <cfRule type="expression" dxfId="76" priority="8" stopIfTrue="1">
      <formula>ISBLANK(AZ27)</formula>
    </cfRule>
  </conditionalFormatting>
  <conditionalFormatting sqref="BF27:BG38 BC73:BD73 BC77:BD77 BC89:BD89 BC93:BD93 BC81:BD81 BC85:BD85">
    <cfRule type="expression" dxfId="75" priority="9" stopIfTrue="1">
      <formula>AND(AZ27&lt;&gt;"",ISBLANK(BC27))</formula>
    </cfRule>
    <cfRule type="expression" dxfId="74" priority="10" stopIfTrue="1">
      <formula>ISBLANK(BC27)</formula>
    </cfRule>
  </conditionalFormatting>
  <conditionalFormatting sqref="AT53:BP59 AH52:BP52 M53:M59">
    <cfRule type="expression" dxfId="73" priority="11" stopIfTrue="1">
      <formula>$K$52=""</formula>
    </cfRule>
  </conditionalFormatting>
  <conditionalFormatting sqref="AH49:BP49">
    <cfRule type="expression" dxfId="72" priority="12" stopIfTrue="1">
      <formula>$K$50=""</formula>
    </cfRule>
  </conditionalFormatting>
  <conditionalFormatting sqref="AH50:BP50">
    <cfRule type="expression" dxfId="71" priority="13" stopIfTrue="1">
      <formula>$K$50=""</formula>
    </cfRule>
    <cfRule type="expression" dxfId="70" priority="14" stopIfTrue="1">
      <formula>$K$51=""</formula>
    </cfRule>
  </conditionalFormatting>
  <conditionalFormatting sqref="AH51:BP51">
    <cfRule type="expression" dxfId="69" priority="15" stopIfTrue="1">
      <formula>$K$51=""</formula>
    </cfRule>
    <cfRule type="expression" dxfId="68" priority="16" stopIfTrue="1">
      <formula>$K$52=""</formula>
    </cfRule>
  </conditionalFormatting>
  <conditionalFormatting sqref="AH62:BP62">
    <cfRule type="expression" dxfId="67" priority="17" stopIfTrue="1">
      <formula>$K$63=""</formula>
    </cfRule>
  </conditionalFormatting>
  <conditionalFormatting sqref="AH63:BP63">
    <cfRule type="expression" dxfId="66" priority="18" stopIfTrue="1">
      <formula>$K$63=""</formula>
    </cfRule>
    <cfRule type="expression" dxfId="65" priority="19" stopIfTrue="1">
      <formula>$K$64=""</formula>
    </cfRule>
  </conditionalFormatting>
  <conditionalFormatting sqref="AH64:BP64">
    <cfRule type="expression" dxfId="64" priority="20" stopIfTrue="1">
      <formula>$K$64=""</formula>
    </cfRule>
    <cfRule type="expression" dxfId="63" priority="21" stopIfTrue="1">
      <formula>$K$65=""</formula>
    </cfRule>
  </conditionalFormatting>
  <conditionalFormatting sqref="AH65:BP65">
    <cfRule type="expression" dxfId="62" priority="22" stopIfTrue="1">
      <formula>$K$65=""</formula>
    </cfRule>
  </conditionalFormatting>
  <conditionalFormatting sqref="M49">
    <cfRule type="expression" dxfId="61" priority="23" stopIfTrue="1">
      <formula>$AT$49=""</formula>
    </cfRule>
    <cfRule type="expression" dxfId="60" priority="24" stopIfTrue="1">
      <formula>$K$50=""</formula>
    </cfRule>
  </conditionalFormatting>
  <conditionalFormatting sqref="M50">
    <cfRule type="expression" dxfId="59" priority="25" stopIfTrue="1">
      <formula>$AT$50=""</formula>
    </cfRule>
    <cfRule type="expression" dxfId="58" priority="26" stopIfTrue="1">
      <formula>$K$50=""</formula>
    </cfRule>
    <cfRule type="expression" dxfId="57" priority="27" stopIfTrue="1">
      <formula>$K$51=""</formula>
    </cfRule>
  </conditionalFormatting>
  <conditionalFormatting sqref="M51">
    <cfRule type="expression" dxfId="56" priority="28" stopIfTrue="1">
      <formula>$AT$51=""</formula>
    </cfRule>
    <cfRule type="expression" dxfId="55" priority="29" stopIfTrue="1">
      <formula>$K$51=""</formula>
    </cfRule>
    <cfRule type="expression" dxfId="54" priority="30" stopIfTrue="1">
      <formula>$K$52=""</formula>
    </cfRule>
  </conditionalFormatting>
  <conditionalFormatting sqref="M52">
    <cfRule type="expression" dxfId="53" priority="31" stopIfTrue="1">
      <formula>$AT$52=""</formula>
    </cfRule>
    <cfRule type="expression" dxfId="52" priority="32" stopIfTrue="1">
      <formula>$K$52=""</formula>
    </cfRule>
  </conditionalFormatting>
  <conditionalFormatting sqref="M62">
    <cfRule type="expression" dxfId="51" priority="33" stopIfTrue="1">
      <formula>$AT$62=""</formula>
    </cfRule>
    <cfRule type="expression" dxfId="50" priority="34" stopIfTrue="1">
      <formula>$K$63=""</formula>
    </cfRule>
  </conditionalFormatting>
  <conditionalFormatting sqref="M63">
    <cfRule type="expression" dxfId="49" priority="35" stopIfTrue="1">
      <formula>$AT$63=""</formula>
    </cfRule>
    <cfRule type="expression" dxfId="48" priority="36" stopIfTrue="1">
      <formula>$K$63=""</formula>
    </cfRule>
    <cfRule type="expression" dxfId="47" priority="37" stopIfTrue="1">
      <formula>$K$64=""</formula>
    </cfRule>
  </conditionalFormatting>
  <conditionalFormatting sqref="M64">
    <cfRule type="expression" dxfId="46" priority="38" stopIfTrue="1">
      <formula>$AT$64=""</formula>
    </cfRule>
    <cfRule type="expression" dxfId="45" priority="39" stopIfTrue="1">
      <formula>$K$64=""</formula>
    </cfRule>
    <cfRule type="expression" dxfId="44" priority="40" stopIfTrue="1">
      <formula>$K$65=""</formula>
    </cfRule>
  </conditionalFormatting>
  <conditionalFormatting sqref="M65">
    <cfRule type="expression" dxfId="43" priority="41" stopIfTrue="1">
      <formula>$AT$65=""</formula>
    </cfRule>
    <cfRule type="expression" dxfId="42" priority="42" stopIfTrue="1">
      <formula>$K$65=""</formula>
    </cfRule>
  </conditionalFormatting>
  <conditionalFormatting sqref="K49:L52">
    <cfRule type="expression" dxfId="41" priority="43" stopIfTrue="1">
      <formula>#REF!&lt;&gt;#REF!</formula>
    </cfRule>
  </conditionalFormatting>
  <conditionalFormatting sqref="K62:L65">
    <cfRule type="expression" dxfId="40" priority="44" stopIfTrue="1">
      <formula>#REF!&lt;&gt;#REF!</formula>
    </cfRule>
  </conditionalFormatting>
  <conditionalFormatting sqref="AI11:AM11 AI14:AM14">
    <cfRule type="expression" dxfId="39" priority="45" stopIfTrue="1">
      <formula>AND($U$11=2,ISBLANK($AI$11))</formula>
    </cfRule>
    <cfRule type="expression" dxfId="38" priority="46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horizontalCentered="1" gridLines="1"/>
  <pageMargins left="0.39370078740157483" right="0.39370078740157483" top="0.39370078740157483" bottom="0.39370078740157483" header="0" footer="0"/>
  <pageSetup paperSize="9" scale="66" pageOrder="overThenDown" orientation="portrait" r:id="rId1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Y119"/>
  <sheetViews>
    <sheetView showGridLines="0" showRowColHeaders="0" topLeftCell="A64" zoomScaleNormal="100" zoomScaleSheetLayoutView="100" workbookViewId="0">
      <selection activeCell="AV65" sqref="AV65:BC65"/>
    </sheetView>
  </sheetViews>
  <sheetFormatPr baseColWidth="10"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/>
  </cols>
  <sheetData>
    <row r="1" spans="1:114" ht="7.5" customHeight="1"/>
    <row r="2" spans="1:114" ht="33">
      <c r="B2" s="535" t="str">
        <f>Ergebniseingabe!C2</f>
        <v>FC Lindau-Harz von 1921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114" s="7" customFormat="1" ht="27">
      <c r="B3" s="515" t="str">
        <f>Ergebniseingabe!C3</f>
        <v>12 Hallenturnier/Herren in Lindau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1:114" s="11" customFormat="1" ht="15">
      <c r="B4" s="640" t="str">
        <f>Ergebniseingabe!C4</f>
        <v>Fußballturnier für - 2 X 4 - Mannschaften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1:114" s="11" customFormat="1" ht="6.4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1:114" s="17" customFormat="1" ht="15">
      <c r="B6" s="635">
        <f>Ergebniseingabe!C6</f>
        <v>41671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1:114" s="11" customFormat="1" ht="6.4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1:114" s="22" customFormat="1" ht="15">
      <c r="B8" s="639" t="str">
        <f>Ergebniseingabe!C8</f>
        <v>in Lindau/Schulsporthalle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1:114" s="11" customFormat="1" ht="6.4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0.70833333333333337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12</v>
      </c>
      <c r="X10" s="421"/>
      <c r="Y10" s="421"/>
      <c r="Z10" s="421"/>
      <c r="AA10" s="421"/>
      <c r="AB10" s="206" t="str">
        <f>IF(T10=2,"Halbzeit:","")</f>
        <v/>
      </c>
      <c r="AC10" s="206"/>
      <c r="AD10" s="206"/>
      <c r="AE10" s="206"/>
      <c r="AF10" s="206"/>
      <c r="AG10" s="206"/>
      <c r="AH10" s="421" t="str">
        <f>IF(Ergebniseingabe!AI11="","",Ergebniseingabe!AI11)</f>
        <v/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1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14" ht="9.6" customHeight="1"/>
    <row r="12" spans="1:114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1:114" s="11" customFormat="1" ht="10.1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1:114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1:114" s="11" customFormat="1" ht="15.75">
      <c r="B15" s="60">
        <v>1</v>
      </c>
      <c r="C15" s="641" t="str">
        <f>Ergebniseingabe!D19</f>
        <v>FC Lindau 2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FC Lindau 1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1:114" s="11" customFormat="1" ht="15.75">
      <c r="B16" s="60">
        <v>2</v>
      </c>
      <c r="C16" s="634" t="str">
        <f>Ergebniseingabe!D20</f>
        <v>SG Rollshausen/Obernfeld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TSV Elvershausen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129" s="11" customFormat="1" ht="15.75">
      <c r="B17" s="60">
        <v>3</v>
      </c>
      <c r="C17" s="634" t="str">
        <f>Ergebniseingabe!D21</f>
        <v>SV BW Bilshausen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SV Höckelheim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129" s="11" customFormat="1" ht="16.5" thickBot="1">
      <c r="B18" s="60">
        <v>4</v>
      </c>
      <c r="C18" s="633" t="str">
        <f>Ergebniseingabe!D22</f>
        <v>FC Höherberg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SG Rhume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2:129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129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2:129" s="11" customFormat="1" ht="10.1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29" s="11" customFormat="1" ht="16.899999999999999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29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0.70833333333333337</v>
      </c>
      <c r="H23" s="612"/>
      <c r="I23" s="612"/>
      <c r="J23" s="613"/>
      <c r="K23" s="533" t="str">
        <f>Ergebniseingabe!L27</f>
        <v>FC Lindau 2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SG Rollshausen/Obernfeld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  <v>0</v>
      </c>
      <c r="BC23" s="616"/>
      <c r="BD23" s="616"/>
      <c r="BE23" s="426">
        <f>IF(Ergebniseingabe!BF27="","",Ergebniseingabe!BF27)</f>
        <v>3</v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29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0.71736111111111112</v>
      </c>
      <c r="H24" s="547"/>
      <c r="I24" s="547"/>
      <c r="J24" s="548"/>
      <c r="K24" s="580" t="str">
        <f>Ergebniseingabe!L28</f>
        <v>SV BW Bilshausen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FC Höherberg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  <v>3</v>
      </c>
      <c r="BC24" s="589"/>
      <c r="BD24" s="589"/>
      <c r="BE24" s="582">
        <f>IF(Ergebniseingabe!BF28="","",Ergebniseingabe!BF28)</f>
        <v>0</v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29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0.72638888888888886</v>
      </c>
      <c r="H25" s="550"/>
      <c r="I25" s="550"/>
      <c r="J25" s="551"/>
      <c r="K25" s="610" t="str">
        <f>Ergebniseingabe!L29</f>
        <v>FC Lindau 1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TSV Elvershausen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  <v>5</v>
      </c>
      <c r="BC25" s="587"/>
      <c r="BD25" s="587"/>
      <c r="BE25" s="584">
        <f>IF(Ergebniseingabe!BF29="","",Ergebniseingabe!BF29)</f>
        <v>2</v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29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0.73541666666666661</v>
      </c>
      <c r="H26" s="547"/>
      <c r="I26" s="547"/>
      <c r="J26" s="548"/>
      <c r="K26" s="580" t="str">
        <f>Ergebniseingabe!L30</f>
        <v>SV Höckelheim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SG Rhume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  <v>1</v>
      </c>
      <c r="BC26" s="589"/>
      <c r="BD26" s="589"/>
      <c r="BE26" s="582">
        <f>IF(Ergebniseingabe!BF30="","",Ergebniseingabe!BF30)</f>
        <v>3</v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29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0.74444444444444435</v>
      </c>
      <c r="H27" s="550"/>
      <c r="I27" s="550"/>
      <c r="J27" s="551"/>
      <c r="K27" s="610" t="str">
        <f>Ergebniseingabe!L31</f>
        <v>FC Lindau 2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SV BW Bilshausen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  <v>2</v>
      </c>
      <c r="BC27" s="587"/>
      <c r="BD27" s="587"/>
      <c r="BE27" s="584">
        <f>IF(Ergebniseingabe!BF31="","",Ergebniseingabe!BF31)</f>
        <v>6</v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0.7534722222222221</v>
      </c>
      <c r="H28" s="547"/>
      <c r="I28" s="547"/>
      <c r="J28" s="548"/>
      <c r="K28" s="580" t="str">
        <f>Ergebniseingabe!L32</f>
        <v>SG Rollshausen/Obernfeld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FC Höherberg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  <v>1</v>
      </c>
      <c r="BC28" s="589"/>
      <c r="BD28" s="589"/>
      <c r="BE28" s="582">
        <f>IF(Ergebniseingabe!BF32="","",Ergebniseingabe!BF32)</f>
        <v>0</v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29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0.76249999999999984</v>
      </c>
      <c r="H29" s="550"/>
      <c r="I29" s="550"/>
      <c r="J29" s="551"/>
      <c r="K29" s="610" t="str">
        <f>Ergebniseingabe!L33</f>
        <v>FC Lindau 1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SV Höckelheim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  <v>4</v>
      </c>
      <c r="BC29" s="587"/>
      <c r="BD29" s="587"/>
      <c r="BE29" s="584">
        <f>IF(Ergebniseingabe!BF33="","",Ergebniseingabe!BF33)</f>
        <v>0</v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0.77152777777777759</v>
      </c>
      <c r="H30" s="547"/>
      <c r="I30" s="547"/>
      <c r="J30" s="548"/>
      <c r="K30" s="580" t="str">
        <f>Ergebniseingabe!L34</f>
        <v>TSV Elvershausen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SG Rhume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  <v>2</v>
      </c>
      <c r="BC30" s="589"/>
      <c r="BD30" s="589"/>
      <c r="BE30" s="582">
        <f>IF(Ergebniseingabe!BF34="","",Ergebniseingabe!BF34)</f>
        <v>2</v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0.78055555555555534</v>
      </c>
      <c r="H31" s="550"/>
      <c r="I31" s="550"/>
      <c r="J31" s="551"/>
      <c r="K31" s="610" t="str">
        <f>Ergebniseingabe!L35</f>
        <v>FC Höherberg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FC Lindau 2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  <v>6</v>
      </c>
      <c r="BC31" s="587"/>
      <c r="BD31" s="587"/>
      <c r="BE31" s="584">
        <f>IF(Ergebniseingabe!BF35="","",Ergebniseingabe!BF35)</f>
        <v>1</v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29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0.78958333333333308</v>
      </c>
      <c r="H32" s="547"/>
      <c r="I32" s="547"/>
      <c r="J32" s="548"/>
      <c r="K32" s="580" t="str">
        <f>Ergebniseingabe!L36</f>
        <v>SV BW Bilshausen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SG Rollshausen/Obernfeld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  <v>2</v>
      </c>
      <c r="BC32" s="589"/>
      <c r="BD32" s="589"/>
      <c r="BE32" s="582">
        <f>IF(Ergebniseingabe!BF36="","",Ergebniseingabe!BF36)</f>
        <v>2</v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0.79861111111111083</v>
      </c>
      <c r="H33" s="550"/>
      <c r="I33" s="550"/>
      <c r="J33" s="551"/>
      <c r="K33" s="610" t="str">
        <f>Ergebniseingabe!L37</f>
        <v>SG Rhume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FC Lindau 1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  <v>1</v>
      </c>
      <c r="BC33" s="587"/>
      <c r="BD33" s="587"/>
      <c r="BE33" s="584">
        <f>IF(Ergebniseingabe!BF37="","",Ergebniseingabe!BF37)</f>
        <v>2</v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29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0.80763888888888857</v>
      </c>
      <c r="H34" s="547"/>
      <c r="I34" s="547"/>
      <c r="J34" s="548"/>
      <c r="K34" s="580" t="str">
        <f>Ergebniseingabe!L38</f>
        <v>SV Höckelheim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TSV Elvershausen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  <v>0</v>
      </c>
      <c r="BC34" s="589"/>
      <c r="BD34" s="589"/>
      <c r="BE34" s="582">
        <f>IF(Ergebniseingabe!BF38="","",Ergebniseingabe!BF38)</f>
        <v>2</v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2:129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2:129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129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SV BW Bilshausen</v>
      </c>
      <c r="AH37" s="592"/>
      <c r="AI37" s="602"/>
      <c r="AJ37" s="591" t="str">
        <f>L46</f>
        <v>SG Rollshausen/Obernfeld</v>
      </c>
      <c r="AK37" s="592"/>
      <c r="AL37" s="602"/>
      <c r="AM37" s="591" t="str">
        <f>L47</f>
        <v>FC Höherberg</v>
      </c>
      <c r="AN37" s="592"/>
      <c r="AO37" s="602"/>
      <c r="AP37" s="591" t="str">
        <f>L48</f>
        <v>FC Lindau 2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129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129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129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129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129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129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29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29" s="11" customFormat="1" ht="20.25" customHeight="1">
      <c r="B45" s="516" t="str">
        <f>IF(Ergebniseingabe!C49="","",Ergebniseingabe!C49)</f>
        <v/>
      </c>
      <c r="C45" s="516"/>
      <c r="D45" s="516"/>
      <c r="E45" s="516"/>
      <c r="F45" s="516">
        <f>IF(Ergebniseingabe!G49="","",Ergebniseingabe!G49)</f>
        <v>1</v>
      </c>
      <c r="G45" s="516"/>
      <c r="H45" s="516"/>
      <c r="J45" s="479">
        <f>Ergebniseingabe!K49</f>
        <v>1</v>
      </c>
      <c r="K45" s="480"/>
      <c r="L45" s="460" t="str">
        <f>Ergebniseingabe!M49</f>
        <v>SV BW Bilshausen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 t="str">
        <f>Ergebniseingabe!AK49</f>
        <v>2:2</v>
      </c>
      <c r="AK45" s="569"/>
      <c r="AL45" s="568"/>
      <c r="AM45" s="573" t="str">
        <f>Ergebniseingabe!AN49</f>
        <v>3:0</v>
      </c>
      <c r="AN45" s="569"/>
      <c r="AO45" s="568"/>
      <c r="AP45" s="434" t="str">
        <f>Ergebniseingabe!AQ49</f>
        <v>6:2</v>
      </c>
      <c r="AQ45" s="435"/>
      <c r="AR45" s="435"/>
      <c r="AS45" s="435">
        <f>Ergebniseingabe!AT49</f>
        <v>3</v>
      </c>
      <c r="AT45" s="435"/>
      <c r="AU45" s="572"/>
      <c r="AV45" s="478">
        <f>Ergebniseingabe!AW49</f>
        <v>2</v>
      </c>
      <c r="AW45" s="478"/>
      <c r="AX45" s="478"/>
      <c r="AY45" s="478">
        <f>Ergebniseingabe!AZ49</f>
        <v>1</v>
      </c>
      <c r="AZ45" s="478"/>
      <c r="BA45" s="478"/>
      <c r="BB45" s="478">
        <f>Ergebniseingabe!BC49</f>
        <v>0</v>
      </c>
      <c r="BC45" s="478"/>
      <c r="BD45" s="478"/>
      <c r="BE45" s="569">
        <f>Ergebniseingabe!BF49</f>
        <v>11</v>
      </c>
      <c r="BF45" s="569"/>
      <c r="BG45" s="79" t="str">
        <f>Ergebniseingabe!BH49</f>
        <v>:</v>
      </c>
      <c r="BH45" s="568">
        <f>Ergebniseingabe!BI49</f>
        <v>4</v>
      </c>
      <c r="BI45" s="478"/>
      <c r="BJ45" s="570">
        <f>Ergebniseingabe!BK49</f>
        <v>7</v>
      </c>
      <c r="BK45" s="570"/>
      <c r="BL45" s="571"/>
      <c r="BM45" s="478">
        <f>Ergebniseingabe!BN49</f>
        <v>7</v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29" s="11" customFormat="1" ht="20.25" customHeight="1">
      <c r="B46" s="516" t="str">
        <f>IF(Ergebniseingabe!C50="","",Ergebniseingabe!C50)</f>
        <v/>
      </c>
      <c r="C46" s="516"/>
      <c r="D46" s="516"/>
      <c r="E46" s="516"/>
      <c r="F46" s="516">
        <f>IF(Ergebniseingabe!G50="","",Ergebniseingabe!G50)</f>
        <v>2</v>
      </c>
      <c r="G46" s="516"/>
      <c r="H46" s="516"/>
      <c r="J46" s="552">
        <f>Ergebniseingabe!K50</f>
        <v>2</v>
      </c>
      <c r="K46" s="553"/>
      <c r="L46" s="441" t="str">
        <f>Ergebniseingabe!M50</f>
        <v>SG Rollshausen/Obernfeld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 t="str">
        <f>Ergebniseingabe!AH50</f>
        <v>2:2</v>
      </c>
      <c r="AH46" s="462"/>
      <c r="AI46" s="463"/>
      <c r="AJ46" s="455"/>
      <c r="AK46" s="456"/>
      <c r="AL46" s="457"/>
      <c r="AM46" s="452" t="str">
        <f>Ergebniseingabe!AN50</f>
        <v>1:0</v>
      </c>
      <c r="AN46" s="453"/>
      <c r="AO46" s="454"/>
      <c r="AP46" s="486" t="str">
        <f>Ergebniseingabe!AQ50</f>
        <v>3:0</v>
      </c>
      <c r="AQ46" s="462"/>
      <c r="AR46" s="462"/>
      <c r="AS46" s="462">
        <f>Ergebniseingabe!AT50</f>
        <v>3</v>
      </c>
      <c r="AT46" s="462"/>
      <c r="AU46" s="463"/>
      <c r="AV46" s="487">
        <f>Ergebniseingabe!AW50</f>
        <v>2</v>
      </c>
      <c r="AW46" s="487"/>
      <c r="AX46" s="487"/>
      <c r="AY46" s="487">
        <f>Ergebniseingabe!AZ50</f>
        <v>1</v>
      </c>
      <c r="AZ46" s="487"/>
      <c r="BA46" s="487"/>
      <c r="BB46" s="487">
        <f>Ergebniseingabe!BC50</f>
        <v>0</v>
      </c>
      <c r="BC46" s="487"/>
      <c r="BD46" s="487"/>
      <c r="BE46" s="453">
        <f>Ergebniseingabe!BF50</f>
        <v>6</v>
      </c>
      <c r="BF46" s="453"/>
      <c r="BG46" s="80" t="str">
        <f>Ergebniseingabe!BH50</f>
        <v>:</v>
      </c>
      <c r="BH46" s="454">
        <f>Ergebniseingabe!BI50</f>
        <v>2</v>
      </c>
      <c r="BI46" s="487"/>
      <c r="BJ46" s="564">
        <f>Ergebniseingabe!BK50</f>
        <v>4</v>
      </c>
      <c r="BK46" s="564"/>
      <c r="BL46" s="565"/>
      <c r="BM46" s="487">
        <f>Ergebniseingabe!BN50</f>
        <v>7</v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29" s="11" customFormat="1" ht="20.25" customHeight="1">
      <c r="B47" s="516" t="str">
        <f>IF(Ergebniseingabe!C51="","",Ergebniseingabe!C51)</f>
        <v/>
      </c>
      <c r="C47" s="516"/>
      <c r="D47" s="516"/>
      <c r="E47" s="516"/>
      <c r="F47" s="516">
        <f>IF(Ergebniseingabe!G51="","",Ergebniseingabe!G51)</f>
        <v>3</v>
      </c>
      <c r="G47" s="516"/>
      <c r="H47" s="516"/>
      <c r="J47" s="552">
        <f>Ergebniseingabe!K51</f>
        <v>3</v>
      </c>
      <c r="K47" s="553"/>
      <c r="L47" s="441" t="str">
        <f>Ergebniseingabe!M51</f>
        <v>FC Höherberg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 t="str">
        <f>Ergebniseingabe!AH51</f>
        <v>0:3</v>
      </c>
      <c r="AH47" s="462"/>
      <c r="AI47" s="463"/>
      <c r="AJ47" s="452" t="str">
        <f>Ergebniseingabe!AK51</f>
        <v>0:1</v>
      </c>
      <c r="AK47" s="453"/>
      <c r="AL47" s="454"/>
      <c r="AM47" s="455"/>
      <c r="AN47" s="456"/>
      <c r="AO47" s="457"/>
      <c r="AP47" s="486" t="str">
        <f>Ergebniseingabe!AQ51</f>
        <v>6:1</v>
      </c>
      <c r="AQ47" s="462"/>
      <c r="AR47" s="462"/>
      <c r="AS47" s="462">
        <f>Ergebniseingabe!AT51</f>
        <v>3</v>
      </c>
      <c r="AT47" s="462"/>
      <c r="AU47" s="463"/>
      <c r="AV47" s="487">
        <f>Ergebniseingabe!AW51</f>
        <v>1</v>
      </c>
      <c r="AW47" s="487"/>
      <c r="AX47" s="487"/>
      <c r="AY47" s="487">
        <f>Ergebniseingabe!AZ51</f>
        <v>0</v>
      </c>
      <c r="AZ47" s="487"/>
      <c r="BA47" s="487"/>
      <c r="BB47" s="487">
        <f>Ergebniseingabe!BC51</f>
        <v>2</v>
      </c>
      <c r="BC47" s="487"/>
      <c r="BD47" s="487"/>
      <c r="BE47" s="453">
        <f>Ergebniseingabe!BF51</f>
        <v>6</v>
      </c>
      <c r="BF47" s="453"/>
      <c r="BG47" s="80" t="str">
        <f>Ergebniseingabe!BH51</f>
        <v>:</v>
      </c>
      <c r="BH47" s="454">
        <f>Ergebniseingabe!BI51</f>
        <v>5</v>
      </c>
      <c r="BI47" s="487"/>
      <c r="BJ47" s="564">
        <f>Ergebniseingabe!BK51</f>
        <v>1</v>
      </c>
      <c r="BK47" s="564"/>
      <c r="BL47" s="565"/>
      <c r="BM47" s="487">
        <f>Ergebniseingabe!BN51</f>
        <v>3</v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29" s="11" customFormat="1" ht="20.25" customHeight="1" thickBot="1">
      <c r="B48" s="516" t="str">
        <f>IF(Ergebniseingabe!C52="","",Ergebniseingabe!C52)</f>
        <v/>
      </c>
      <c r="C48" s="516"/>
      <c r="D48" s="516"/>
      <c r="E48" s="516"/>
      <c r="F48" s="516">
        <f>IF(Ergebniseingabe!G52="","",Ergebniseingabe!G52)</f>
        <v>4</v>
      </c>
      <c r="G48" s="516"/>
      <c r="H48" s="516"/>
      <c r="J48" s="618">
        <f>Ergebniseingabe!K52</f>
        <v>4</v>
      </c>
      <c r="K48" s="619"/>
      <c r="L48" s="439" t="str">
        <f>Ergebniseingabe!M52</f>
        <v>FC Lindau 2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 t="str">
        <f>Ergebniseingabe!AH52</f>
        <v>2:6</v>
      </c>
      <c r="AH48" s="458"/>
      <c r="AI48" s="459"/>
      <c r="AJ48" s="481" t="str">
        <f>Ergebniseingabe!AK52</f>
        <v>0:3</v>
      </c>
      <c r="AK48" s="482"/>
      <c r="AL48" s="483"/>
      <c r="AM48" s="481" t="str">
        <f>Ergebniseingabe!AN52</f>
        <v>1:6</v>
      </c>
      <c r="AN48" s="482"/>
      <c r="AO48" s="483"/>
      <c r="AP48" s="484"/>
      <c r="AQ48" s="485"/>
      <c r="AR48" s="485"/>
      <c r="AS48" s="458">
        <f>Ergebniseingabe!AT52</f>
        <v>3</v>
      </c>
      <c r="AT48" s="458"/>
      <c r="AU48" s="459"/>
      <c r="AV48" s="557">
        <f>Ergebniseingabe!AW52</f>
        <v>0</v>
      </c>
      <c r="AW48" s="557"/>
      <c r="AX48" s="557"/>
      <c r="AY48" s="557">
        <f>Ergebniseingabe!AZ52</f>
        <v>0</v>
      </c>
      <c r="AZ48" s="557"/>
      <c r="BA48" s="557"/>
      <c r="BB48" s="557">
        <f>Ergebniseingabe!BC52</f>
        <v>3</v>
      </c>
      <c r="BC48" s="557"/>
      <c r="BD48" s="557"/>
      <c r="BE48" s="482">
        <f>Ergebniseingabe!BF52</f>
        <v>3</v>
      </c>
      <c r="BF48" s="482"/>
      <c r="BG48" s="81" t="str">
        <f>Ergebniseingabe!BH52</f>
        <v>:</v>
      </c>
      <c r="BH48" s="483">
        <f>Ergebniseingabe!BI52</f>
        <v>15</v>
      </c>
      <c r="BI48" s="557"/>
      <c r="BJ48" s="578">
        <f>Ergebniseingabe!BK52</f>
        <v>-12</v>
      </c>
      <c r="BK48" s="578"/>
      <c r="BL48" s="579"/>
      <c r="BM48" s="557">
        <f>Ergebniseingabe!BN52</f>
        <v>0</v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FC Lindau 1</v>
      </c>
      <c r="AH50" s="465"/>
      <c r="AI50" s="466"/>
      <c r="AJ50" s="464" t="str">
        <f>L59</f>
        <v>SG Rhume</v>
      </c>
      <c r="AK50" s="465"/>
      <c r="AL50" s="466"/>
      <c r="AM50" s="464" t="str">
        <f>L60</f>
        <v>TSV Elvershausen</v>
      </c>
      <c r="AN50" s="465"/>
      <c r="AO50" s="466"/>
      <c r="AP50" s="464" t="str">
        <f>L61</f>
        <v>SV Höckelheim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 t="str">
        <f>IF(Ergebniseingabe!C62="","",Ergebniseingabe!C62)</f>
        <v/>
      </c>
      <c r="C58" s="433"/>
      <c r="D58" s="433"/>
      <c r="E58" s="433"/>
      <c r="F58" s="433">
        <f>IF(Ergebniseingabe!G62="","",Ergebniseingabe!G62)</f>
        <v>1</v>
      </c>
      <c r="G58" s="433"/>
      <c r="H58" s="433"/>
      <c r="J58" s="479">
        <f>Ergebniseingabe!K62</f>
        <v>1</v>
      </c>
      <c r="K58" s="480"/>
      <c r="L58" s="460" t="str">
        <f>Ergebniseingabe!M62</f>
        <v>FC Lindau 1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 t="str">
        <f>Ergebniseingabe!AK62</f>
        <v>2:1</v>
      </c>
      <c r="AK58" s="478"/>
      <c r="AL58" s="478"/>
      <c r="AM58" s="478" t="str">
        <f>Ergebniseingabe!AN62</f>
        <v>5:2</v>
      </c>
      <c r="AN58" s="478"/>
      <c r="AO58" s="478"/>
      <c r="AP58" s="434" t="str">
        <f>Ergebniseingabe!AQ62</f>
        <v>4:0</v>
      </c>
      <c r="AQ58" s="435"/>
      <c r="AR58" s="435"/>
      <c r="AS58" s="435">
        <f>Ergebniseingabe!AT62</f>
        <v>3</v>
      </c>
      <c r="AT58" s="435"/>
      <c r="AU58" s="572"/>
      <c r="AV58" s="573">
        <f>Ergebniseingabe!AW62</f>
        <v>3</v>
      </c>
      <c r="AW58" s="569"/>
      <c r="AX58" s="568"/>
      <c r="AY58" s="573">
        <f>Ergebniseingabe!AZ62</f>
        <v>0</v>
      </c>
      <c r="AZ58" s="569"/>
      <c r="BA58" s="568"/>
      <c r="BB58" s="573">
        <f>Ergebniseingabe!BC62</f>
        <v>0</v>
      </c>
      <c r="BC58" s="569"/>
      <c r="BD58" s="568"/>
      <c r="BE58" s="569">
        <f>Ergebniseingabe!BF62</f>
        <v>11</v>
      </c>
      <c r="BF58" s="569"/>
      <c r="BG58" s="79" t="str">
        <f>Ergebniseingabe!BH62</f>
        <v>:</v>
      </c>
      <c r="BH58" s="568">
        <f>Ergebniseingabe!BI62</f>
        <v>3</v>
      </c>
      <c r="BI58" s="478"/>
      <c r="BJ58" s="570">
        <f>Ergebniseingabe!BK62</f>
        <v>8</v>
      </c>
      <c r="BK58" s="570"/>
      <c r="BL58" s="571"/>
      <c r="BM58" s="573">
        <f>Ergebniseingabe!BN62</f>
        <v>9</v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 t="str">
        <f>IF(Ergebniseingabe!C63="","",Ergebniseingabe!C63)</f>
        <v/>
      </c>
      <c r="C59" s="433"/>
      <c r="D59" s="433"/>
      <c r="E59" s="433"/>
      <c r="F59" s="433">
        <f>IF(Ergebniseingabe!G63="","",Ergebniseingabe!G63)</f>
        <v>2</v>
      </c>
      <c r="G59" s="433"/>
      <c r="H59" s="433"/>
      <c r="J59" s="552">
        <f>Ergebniseingabe!K63</f>
        <v>2</v>
      </c>
      <c r="K59" s="553"/>
      <c r="L59" s="441" t="str">
        <f>Ergebniseingabe!M63</f>
        <v>SG Rhume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 t="str">
        <f>Ergebniseingabe!AH63</f>
        <v>1:2</v>
      </c>
      <c r="AH59" s="462"/>
      <c r="AI59" s="463"/>
      <c r="AJ59" s="558"/>
      <c r="AK59" s="558"/>
      <c r="AL59" s="558"/>
      <c r="AM59" s="487" t="str">
        <f>Ergebniseingabe!AN63</f>
        <v>2:2</v>
      </c>
      <c r="AN59" s="487"/>
      <c r="AO59" s="487"/>
      <c r="AP59" s="486" t="str">
        <f>Ergebniseingabe!AQ63</f>
        <v>3:1</v>
      </c>
      <c r="AQ59" s="462"/>
      <c r="AR59" s="462"/>
      <c r="AS59" s="462">
        <f>Ergebniseingabe!AT63</f>
        <v>3</v>
      </c>
      <c r="AT59" s="462"/>
      <c r="AU59" s="463"/>
      <c r="AV59" s="452">
        <f>Ergebniseingabe!AW63</f>
        <v>1</v>
      </c>
      <c r="AW59" s="453"/>
      <c r="AX59" s="454"/>
      <c r="AY59" s="452">
        <f>Ergebniseingabe!AZ63</f>
        <v>1</v>
      </c>
      <c r="AZ59" s="453"/>
      <c r="BA59" s="454"/>
      <c r="BB59" s="452">
        <f>Ergebniseingabe!BC63</f>
        <v>1</v>
      </c>
      <c r="BC59" s="453"/>
      <c r="BD59" s="454"/>
      <c r="BE59" s="453">
        <f>Ergebniseingabe!BF63</f>
        <v>6</v>
      </c>
      <c r="BF59" s="453"/>
      <c r="BG59" s="80" t="str">
        <f>Ergebniseingabe!BH63</f>
        <v>:</v>
      </c>
      <c r="BH59" s="454">
        <f>Ergebniseingabe!BI63</f>
        <v>5</v>
      </c>
      <c r="BI59" s="487"/>
      <c r="BJ59" s="564">
        <f>Ergebniseingabe!BK63</f>
        <v>1</v>
      </c>
      <c r="BK59" s="564"/>
      <c r="BL59" s="565"/>
      <c r="BM59" s="452">
        <f>Ergebniseingabe!BN63</f>
        <v>4</v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 t="str">
        <f>IF(Ergebniseingabe!C64="","",Ergebniseingabe!C64)</f>
        <v/>
      </c>
      <c r="C60" s="433"/>
      <c r="D60" s="433"/>
      <c r="E60" s="433"/>
      <c r="F60" s="433">
        <f>IF(Ergebniseingabe!G64="","",Ergebniseingabe!G64)</f>
        <v>3</v>
      </c>
      <c r="G60" s="433"/>
      <c r="H60" s="433"/>
      <c r="J60" s="552">
        <f>Ergebniseingabe!K64</f>
        <v>3</v>
      </c>
      <c r="K60" s="553"/>
      <c r="L60" s="441" t="str">
        <f>Ergebniseingabe!M64</f>
        <v>TSV Elvershausen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 t="str">
        <f>Ergebniseingabe!AH64</f>
        <v>2:5</v>
      </c>
      <c r="AH60" s="462"/>
      <c r="AI60" s="463"/>
      <c r="AJ60" s="487" t="str">
        <f>Ergebniseingabe!AK64</f>
        <v>2:2</v>
      </c>
      <c r="AK60" s="487"/>
      <c r="AL60" s="487"/>
      <c r="AM60" s="558"/>
      <c r="AN60" s="558"/>
      <c r="AO60" s="558"/>
      <c r="AP60" s="486" t="str">
        <f>Ergebniseingabe!AQ64</f>
        <v>2:0</v>
      </c>
      <c r="AQ60" s="462"/>
      <c r="AR60" s="462"/>
      <c r="AS60" s="462">
        <f>Ergebniseingabe!AT64</f>
        <v>3</v>
      </c>
      <c r="AT60" s="462"/>
      <c r="AU60" s="463"/>
      <c r="AV60" s="452">
        <f>Ergebniseingabe!AW64</f>
        <v>1</v>
      </c>
      <c r="AW60" s="453"/>
      <c r="AX60" s="454"/>
      <c r="AY60" s="452">
        <f>Ergebniseingabe!AZ64</f>
        <v>1</v>
      </c>
      <c r="AZ60" s="453"/>
      <c r="BA60" s="454"/>
      <c r="BB60" s="452">
        <f>Ergebniseingabe!BC64</f>
        <v>1</v>
      </c>
      <c r="BC60" s="453"/>
      <c r="BD60" s="454"/>
      <c r="BE60" s="453">
        <f>Ergebniseingabe!BF64</f>
        <v>6</v>
      </c>
      <c r="BF60" s="453"/>
      <c r="BG60" s="80" t="str">
        <f>Ergebniseingabe!BH64</f>
        <v>:</v>
      </c>
      <c r="BH60" s="454">
        <f>Ergebniseingabe!BI64</f>
        <v>7</v>
      </c>
      <c r="BI60" s="487"/>
      <c r="BJ60" s="564">
        <f>Ergebniseingabe!BK64</f>
        <v>-1</v>
      </c>
      <c r="BK60" s="564"/>
      <c r="BL60" s="565"/>
      <c r="BM60" s="452">
        <f>Ergebniseingabe!BN64</f>
        <v>4</v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 t="str">
        <f>IF(Ergebniseingabe!C65="","",Ergebniseingabe!C65)</f>
        <v/>
      </c>
      <c r="C61" s="433"/>
      <c r="D61" s="433"/>
      <c r="E61" s="433"/>
      <c r="F61" s="433">
        <f>IF(Ergebniseingabe!G65="","",Ergebniseingabe!G65)</f>
        <v>4</v>
      </c>
      <c r="G61" s="433"/>
      <c r="H61" s="433"/>
      <c r="J61" s="618">
        <f>Ergebniseingabe!K65</f>
        <v>4</v>
      </c>
      <c r="K61" s="619"/>
      <c r="L61" s="439" t="str">
        <f>Ergebniseingabe!M65</f>
        <v>SV Höckelheim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 t="str">
        <f>Ergebniseingabe!AH65</f>
        <v>0:4</v>
      </c>
      <c r="AH61" s="458"/>
      <c r="AI61" s="459"/>
      <c r="AJ61" s="557" t="str">
        <f>Ergebniseingabe!AK65</f>
        <v>1:3</v>
      </c>
      <c r="AK61" s="557"/>
      <c r="AL61" s="557"/>
      <c r="AM61" s="557" t="str">
        <f>Ergebniseingabe!AN65</f>
        <v>0:2</v>
      </c>
      <c r="AN61" s="557"/>
      <c r="AO61" s="557"/>
      <c r="AP61" s="484"/>
      <c r="AQ61" s="485"/>
      <c r="AR61" s="485"/>
      <c r="AS61" s="458">
        <f>Ergebniseingabe!AT65</f>
        <v>3</v>
      </c>
      <c r="AT61" s="458"/>
      <c r="AU61" s="459"/>
      <c r="AV61" s="481">
        <f>Ergebniseingabe!AW65</f>
        <v>0</v>
      </c>
      <c r="AW61" s="482"/>
      <c r="AX61" s="483"/>
      <c r="AY61" s="481">
        <f>Ergebniseingabe!AZ65</f>
        <v>0</v>
      </c>
      <c r="AZ61" s="482"/>
      <c r="BA61" s="483"/>
      <c r="BB61" s="481">
        <f>Ergebniseingabe!BC65</f>
        <v>3</v>
      </c>
      <c r="BC61" s="482"/>
      <c r="BD61" s="483"/>
      <c r="BE61" s="482">
        <f>Ergebniseingabe!BF65</f>
        <v>1</v>
      </c>
      <c r="BF61" s="482"/>
      <c r="BG61" s="81" t="str">
        <f>Ergebniseingabe!BH65</f>
        <v>:</v>
      </c>
      <c r="BH61" s="483">
        <f>Ergebniseingabe!BI65</f>
        <v>9</v>
      </c>
      <c r="BI61" s="557"/>
      <c r="BJ61" s="578">
        <f>Ergebniseingabe!BK65</f>
        <v>-8</v>
      </c>
      <c r="BK61" s="578"/>
      <c r="BL61" s="579"/>
      <c r="BM61" s="481">
        <f>Ergebniseingabe!BN65</f>
        <v>0</v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2:10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2:10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107" ht="33">
      <c r="B64" s="535" t="str">
        <f>$B$2</f>
        <v>FC Lindau-Harz von 1921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114" s="7" customFormat="1" ht="27">
      <c r="B65" s="515" t="str">
        <f>$B$3</f>
        <v>12 Hallenturnier/Herren in Lindau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1:114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1:114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1:114" s="11" customFormat="1" ht="6.4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1:114" s="95" customFormat="1" ht="15.75">
      <c r="B69" s="536">
        <f>B6</f>
        <v>41671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1:114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0.82499999999999973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12</v>
      </c>
      <c r="X71" s="631"/>
      <c r="Y71" s="631"/>
      <c r="Z71" s="631"/>
      <c r="AA71" s="631"/>
      <c r="AB71" s="617" t="str">
        <f>Ergebniseingabe!AC70</f>
        <v/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1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1:114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1:114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1:114" s="11" customFormat="1" ht="20.25" customHeight="1">
      <c r="B74" s="517">
        <v>13</v>
      </c>
      <c r="C74" s="518"/>
      <c r="D74" s="521">
        <f>Ergebniseingabe!E73</f>
        <v>0.82499999999999973</v>
      </c>
      <c r="E74" s="521"/>
      <c r="F74" s="521"/>
      <c r="G74" s="521"/>
      <c r="H74" s="533" t="str">
        <f>Ergebniseingabe!I73</f>
        <v>SV BW Bilshausen</v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 t="str">
        <f>Ergebniseingabe!AE73</f>
        <v>SG Rhume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  <v>8</v>
      </c>
      <c r="AZ74" s="506"/>
      <c r="BA74" s="507"/>
      <c r="BB74" s="526">
        <f>IF(Ergebniseingabe!BC73="","",Ergebniseingabe!BC73)</f>
        <v>7</v>
      </c>
      <c r="BC74" s="526"/>
      <c r="BD74" s="425" t="str">
        <f>IF(Ergebniseingabe!BE73="","",Ergebniseingabe!BE73)</f>
        <v>n. 9m</v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1:114" s="11" customFormat="1" ht="11.8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1:114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1:114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1:114" s="11" customFormat="1" ht="20.25" customHeight="1">
      <c r="B78" s="517">
        <v>14</v>
      </c>
      <c r="C78" s="518"/>
      <c r="D78" s="521">
        <f>Ergebniseingabe!E77</f>
        <v>0.83402777777777748</v>
      </c>
      <c r="E78" s="521"/>
      <c r="F78" s="521"/>
      <c r="G78" s="521"/>
      <c r="H78" s="533" t="str">
        <f>Ergebniseingabe!I77</f>
        <v>FC Lindau 1</v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 t="str">
        <f>Ergebniseingabe!AE77</f>
        <v>SG Rollshausen/Obernfeld</v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  <v>2</v>
      </c>
      <c r="AZ78" s="506"/>
      <c r="BA78" s="507"/>
      <c r="BB78" s="526">
        <f>IF(Ergebniseingabe!BC77="","",Ergebniseingabe!BC77)</f>
        <v>1</v>
      </c>
      <c r="BC78" s="526"/>
      <c r="BD78" s="425" t="str">
        <f>IF(Ergebniseingabe!BE77="","",Ergebniseingabe!BE77)</f>
        <v/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1:114" s="11" customFormat="1" ht="11.8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1:114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95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95" s="11" customFormat="1" ht="20.25" customHeight="1">
      <c r="B82" s="517">
        <v>15</v>
      </c>
      <c r="C82" s="518"/>
      <c r="D82" s="521">
        <f>Ergebniseingabe!E81</f>
        <v>0.84305555555555522</v>
      </c>
      <c r="E82" s="521"/>
      <c r="F82" s="521"/>
      <c r="G82" s="521"/>
      <c r="H82" s="533" t="str">
        <f>Ergebniseingabe!I81</f>
        <v>FC Lindau 2</v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 t="str">
        <f>Ergebniseingabe!AE81</f>
        <v>SV Höckelheim</v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  <v>1</v>
      </c>
      <c r="AZ82" s="506"/>
      <c r="BA82" s="507"/>
      <c r="BB82" s="526">
        <f>IF(Ergebniseingabe!BC81="","",Ergebniseingabe!BC81)</f>
        <v>6</v>
      </c>
      <c r="BC82" s="526"/>
      <c r="BD82" s="425" t="str">
        <f>IF(Ergebniseingabe!BE81="","",Ergebniseingabe!BE81)</f>
        <v/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95" s="11" customFormat="1" ht="11.8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2:95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95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95" s="11" customFormat="1" ht="20.25" customHeight="1">
      <c r="B86" s="517">
        <v>16</v>
      </c>
      <c r="C86" s="518"/>
      <c r="D86" s="521">
        <f>Ergebniseingabe!E85</f>
        <v>0.85208333333333297</v>
      </c>
      <c r="E86" s="521"/>
      <c r="F86" s="521"/>
      <c r="G86" s="521"/>
      <c r="H86" s="533" t="str">
        <f>Ergebniseingabe!I85</f>
        <v>FC Höherberg</v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 t="str">
        <f>Ergebniseingabe!AE85</f>
        <v>TSV Elvershausen</v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  <v>2</v>
      </c>
      <c r="AZ86" s="506"/>
      <c r="BA86" s="507"/>
      <c r="BB86" s="526">
        <f>IF(Ergebniseingabe!BC85="","",Ergebniseingabe!BC85)</f>
        <v>0</v>
      </c>
      <c r="BC86" s="526"/>
      <c r="BD86" s="425" t="str">
        <f>IF(Ergebniseingabe!BE85="","",Ergebniseingabe!BE85)</f>
        <v/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8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0.86111111111111072</v>
      </c>
      <c r="E90" s="521"/>
      <c r="F90" s="521"/>
      <c r="G90" s="521"/>
      <c r="H90" s="533" t="str">
        <f>Ergebniseingabe!I89</f>
        <v>SG Rhume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SG Rollshausen/Obernfeld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  <v>5</v>
      </c>
      <c r="AZ90" s="506"/>
      <c r="BA90" s="507"/>
      <c r="BB90" s="526">
        <f>IF(Ergebniseingabe!BC89="","",Ergebniseingabe!BC89)</f>
        <v>0</v>
      </c>
      <c r="BC90" s="526"/>
      <c r="BD90" s="425" t="str">
        <f>IF(Ergebniseingabe!BE89="","",Ergebniseingabe!BE89)</f>
        <v/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95" s="11" customFormat="1" ht="11.8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2:95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95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95" s="11" customFormat="1" ht="20.25" customHeight="1">
      <c r="B94" s="517">
        <v>18</v>
      </c>
      <c r="C94" s="518"/>
      <c r="D94" s="521">
        <f>Ergebniseingabe!E93</f>
        <v>0.87013888888888846</v>
      </c>
      <c r="E94" s="521"/>
      <c r="F94" s="521"/>
      <c r="G94" s="521"/>
      <c r="H94" s="533" t="str">
        <f>Ergebniseingabe!I93</f>
        <v>SV BW Bilshausen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FC Lindau 1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  <v>1</v>
      </c>
      <c r="AZ94" s="506"/>
      <c r="BA94" s="507"/>
      <c r="BB94" s="526">
        <f>IF(Ergebniseingabe!BC93="","",Ergebniseingabe!BC93)</f>
        <v>4</v>
      </c>
      <c r="BC94" s="526"/>
      <c r="BD94" s="425" t="str">
        <f>IF(Ergebniseingabe!BE93="","",Ergebniseingabe!BE93)</f>
        <v/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95" s="11" customFormat="1" ht="11.8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2:95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2:104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104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2:104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2:104" s="11" customFormat="1" ht="20.25" customHeight="1">
      <c r="I100" s="493" t="s">
        <v>46</v>
      </c>
      <c r="J100" s="494"/>
      <c r="K100" s="503" t="str">
        <f>Ergebniseingabe!L98</f>
        <v>FC Lindau 1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2:104" s="11" customFormat="1" ht="20.25" customHeight="1">
      <c r="I101" s="491" t="s">
        <v>47</v>
      </c>
      <c r="J101" s="492"/>
      <c r="K101" s="500" t="str">
        <f>Ergebniseingabe!L99</f>
        <v>SV BW Bilshausen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2:104" s="11" customFormat="1" ht="20.25" customHeight="1">
      <c r="I102" s="491" t="s">
        <v>48</v>
      </c>
      <c r="J102" s="492"/>
      <c r="K102" s="500" t="str">
        <f>Ergebniseingabe!L100</f>
        <v>SG Rhume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2:104" s="11" customFormat="1" ht="20.25" customHeight="1">
      <c r="I103" s="491" t="s">
        <v>49</v>
      </c>
      <c r="J103" s="492"/>
      <c r="K103" s="500" t="str">
        <f>Ergebniseingabe!L101</f>
        <v>SG Rollshausen/Obernfeld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2:104" s="11" customFormat="1" ht="20.25" customHeight="1">
      <c r="I104" s="491" t="s">
        <v>50</v>
      </c>
      <c r="J104" s="492"/>
      <c r="K104" s="500" t="str">
        <f>Ergebniseingabe!L102</f>
        <v>FC Höherberg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2:104" s="11" customFormat="1" ht="20.25" customHeight="1">
      <c r="I105" s="491" t="s">
        <v>51</v>
      </c>
      <c r="J105" s="492"/>
      <c r="K105" s="500" t="str">
        <f>Ergebniseingabe!L103</f>
        <v>TSV Elvershausen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2:104" s="11" customFormat="1" ht="20.25" customHeight="1">
      <c r="I106" s="491" t="s">
        <v>52</v>
      </c>
      <c r="J106" s="492"/>
      <c r="K106" s="500" t="str">
        <f>Ergebniseingabe!L104</f>
        <v>SV Höckelheim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2:104" s="11" customFormat="1" ht="20.25" customHeight="1" thickBot="1">
      <c r="I107" s="495" t="s">
        <v>53</v>
      </c>
      <c r="J107" s="496"/>
      <c r="K107" s="497" t="str">
        <f>Ergebniseingabe!L105</f>
        <v>FC Lindau 2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2:104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3.15" customHeight="1">
      <c r="B109" s="195" t="s">
        <v>66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3.15" customHeight="1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3.15" customHeight="1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3.15" customHeight="1">
      <c r="B112" s="196" t="s">
        <v>69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70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3.15" customHeight="1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3.15" customHeight="1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3.15" customHeight="1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3.15" customHeight="1">
      <c r="B117" s="193" t="s">
        <v>74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2:91" s="35" customFormat="1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2:91" s="35" customFormat="1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77:C77"/>
    <mergeCell ref="AD87:AX87"/>
    <mergeCell ref="H87:AB87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K26:AE26"/>
    <mergeCell ref="D28:F28"/>
    <mergeCell ref="G29:J29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AS45:AU45"/>
    <mergeCell ref="AV45:AX45"/>
    <mergeCell ref="AY45:BA45"/>
    <mergeCell ref="AP37:AR44"/>
    <mergeCell ref="AY44:BA44"/>
    <mergeCell ref="L45:AF45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AS44:AU44"/>
    <mergeCell ref="AV44:AX44"/>
    <mergeCell ref="AS46:AU46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BB32:BD32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BH58:BI58"/>
    <mergeCell ref="BE58:BF58"/>
    <mergeCell ref="BH59:BI59"/>
    <mergeCell ref="BE59:BF59"/>
    <mergeCell ref="AV46:AX46"/>
    <mergeCell ref="AV60:AX60"/>
    <mergeCell ref="AY58:BA58"/>
    <mergeCell ref="AV58:AX58"/>
    <mergeCell ref="AV59:AX59"/>
    <mergeCell ref="AY60:BA60"/>
    <mergeCell ref="BM44:BO44"/>
    <mergeCell ref="BE44:BI44"/>
    <mergeCell ref="BJ44:BL44"/>
    <mergeCell ref="BH45:BI45"/>
    <mergeCell ref="BM45:BO45"/>
    <mergeCell ref="BE45:BF45"/>
    <mergeCell ref="BJ45:BL45"/>
    <mergeCell ref="BM47:BO47"/>
    <mergeCell ref="BM46:BO46"/>
    <mergeCell ref="BB45:BD45"/>
    <mergeCell ref="BE48:BF48"/>
    <mergeCell ref="BH47:BI47"/>
    <mergeCell ref="BH46:BI46"/>
    <mergeCell ref="BB46:BD46"/>
    <mergeCell ref="BB57:BD57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78:BC78"/>
    <mergeCell ref="AY77:BC77"/>
    <mergeCell ref="AY78:BA78"/>
    <mergeCell ref="AY73:BC73"/>
    <mergeCell ref="AY75:BC75"/>
    <mergeCell ref="AY74:BA74"/>
    <mergeCell ref="BB74:BC74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AS58:AU58"/>
    <mergeCell ref="AS59:AU59"/>
    <mergeCell ref="BB58:BD58"/>
    <mergeCell ref="AS61:AU61"/>
    <mergeCell ref="BB61:BD61"/>
    <mergeCell ref="AY61:BA61"/>
    <mergeCell ref="AV61:AX61"/>
    <mergeCell ref="AD75:AX75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J61:BL61"/>
    <mergeCell ref="BH61:BI61"/>
    <mergeCell ref="BE61:BF6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G34:J34"/>
    <mergeCell ref="J45:K45"/>
    <mergeCell ref="G31:J31"/>
    <mergeCell ref="K34:AE34"/>
    <mergeCell ref="B34:C34"/>
    <mergeCell ref="B33:C33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B46:E46"/>
    <mergeCell ref="B74:C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94:C95"/>
    <mergeCell ref="B93:C93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H81:AX81"/>
    <mergeCell ref="H77:AX7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86:AB86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H82:AB82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phoneticPr fontId="2" type="noConversion"/>
  <conditionalFormatting sqref="H78 H90 H94 H74 H86 H82 K23:K34">
    <cfRule type="expression" dxfId="37" priority="1" stopIfTrue="1">
      <formula>AND(AY23&gt;BB23,AY23&lt;&gt;"",BB23&lt;&gt;"")</formula>
    </cfRule>
    <cfRule type="expression" dxfId="36" priority="2" stopIfTrue="1">
      <formula>AND(AY23=BB23,AY23&lt;&gt;"",BB23&lt;&gt;"")</formula>
    </cfRule>
    <cfRule type="expression" dxfId="35" priority="3" stopIfTrue="1">
      <formula>AND(AY23&lt;BB23,AY23&lt;&gt;"",BB23&lt;&gt;"")</formula>
    </cfRule>
  </conditionalFormatting>
  <conditionalFormatting sqref="AD78 AD90 AD94 AD74 AD86 AD82 AG23:AG34">
    <cfRule type="expression" dxfId="34" priority="4" stopIfTrue="1">
      <formula>AND(BB23&gt;AY23,AY23&lt;&gt;"",BB23&lt;&gt;"")</formula>
    </cfRule>
    <cfRule type="expression" dxfId="33" priority="5" stopIfTrue="1">
      <formula>AND(BB23=AY23,AY23&lt;&gt;"",BB23&lt;&gt;"")</formula>
    </cfRule>
    <cfRule type="expression" dxfId="32" priority="6" stopIfTrue="1">
      <formula>AND(BB23&lt;AY23,AY23&lt;&gt;"",BB23&lt;&gt;"")</formula>
    </cfRule>
  </conditionalFormatting>
  <conditionalFormatting sqref="AG49:AR49 AS49:BO55 AG48:BO48 L49:AF55">
    <cfRule type="expression" dxfId="31" priority="7" stopIfTrue="1">
      <formula>$J$48=""</formula>
    </cfRule>
  </conditionalFormatting>
  <conditionalFormatting sqref="AG45:BO45">
    <cfRule type="expression" dxfId="30" priority="8" stopIfTrue="1">
      <formula>$J$46=""</formula>
    </cfRule>
  </conditionalFormatting>
  <conditionalFormatting sqref="AG46:BO46">
    <cfRule type="expression" dxfId="29" priority="9" stopIfTrue="1">
      <formula>$J$46=""</formula>
    </cfRule>
    <cfRule type="expression" dxfId="28" priority="10" stopIfTrue="1">
      <formula>$J$47=""</formula>
    </cfRule>
  </conditionalFormatting>
  <conditionalFormatting sqref="AG47:BO47">
    <cfRule type="expression" dxfId="27" priority="11" stopIfTrue="1">
      <formula>$J$47=""</formula>
    </cfRule>
    <cfRule type="expression" dxfId="26" priority="12" stopIfTrue="1">
      <formula>$J$48=""</formula>
    </cfRule>
  </conditionalFormatting>
  <conditionalFormatting sqref="AG58:BO58">
    <cfRule type="expression" dxfId="25" priority="13" stopIfTrue="1">
      <formula>$J$59=""</formula>
    </cfRule>
  </conditionalFormatting>
  <conditionalFormatting sqref="AG59:BO59">
    <cfRule type="expression" dxfId="24" priority="14" stopIfTrue="1">
      <formula>$J$59=""</formula>
    </cfRule>
    <cfRule type="expression" dxfId="23" priority="15" stopIfTrue="1">
      <formula>$J$60=""</formula>
    </cfRule>
  </conditionalFormatting>
  <conditionalFormatting sqref="AG60:BO60">
    <cfRule type="expression" dxfId="22" priority="16" stopIfTrue="1">
      <formula>$J$60=""</formula>
    </cfRule>
    <cfRule type="expression" dxfId="21" priority="17" stopIfTrue="1">
      <formula>$J$61=""</formula>
    </cfRule>
  </conditionalFormatting>
  <conditionalFormatting sqref="AG61:BO61">
    <cfRule type="expression" dxfId="20" priority="18" stopIfTrue="1">
      <formula>$J$61=""</formula>
    </cfRule>
  </conditionalFormatting>
  <conditionalFormatting sqref="L45">
    <cfRule type="expression" dxfId="19" priority="19" stopIfTrue="1">
      <formula>$AS$45=""</formula>
    </cfRule>
    <cfRule type="expression" dxfId="18" priority="20" stopIfTrue="1">
      <formula>$J$46=""</formula>
    </cfRule>
  </conditionalFormatting>
  <conditionalFormatting sqref="L46">
    <cfRule type="expression" dxfId="17" priority="21" stopIfTrue="1">
      <formula>$AS$46=""</formula>
    </cfRule>
    <cfRule type="expression" dxfId="16" priority="22" stopIfTrue="1">
      <formula>$J$46=""</formula>
    </cfRule>
    <cfRule type="expression" dxfId="15" priority="23" stopIfTrue="1">
      <formula>$J$47=""</formula>
    </cfRule>
  </conditionalFormatting>
  <conditionalFormatting sqref="L47">
    <cfRule type="expression" dxfId="14" priority="24" stopIfTrue="1">
      <formula>$AS$47=""</formula>
    </cfRule>
    <cfRule type="expression" dxfId="13" priority="25" stopIfTrue="1">
      <formula>$J$47=""</formula>
    </cfRule>
    <cfRule type="expression" dxfId="12" priority="26" stopIfTrue="1">
      <formula>$J$48=""</formula>
    </cfRule>
  </conditionalFormatting>
  <conditionalFormatting sqref="L48">
    <cfRule type="expression" dxfId="11" priority="27" stopIfTrue="1">
      <formula>$AS$48=""</formula>
    </cfRule>
    <cfRule type="expression" dxfId="10" priority="28" stopIfTrue="1">
      <formula>$J$48=""</formula>
    </cfRule>
  </conditionalFormatting>
  <conditionalFormatting sqref="L58">
    <cfRule type="expression" dxfId="9" priority="29" stopIfTrue="1">
      <formula>$AS$58=""</formula>
    </cfRule>
    <cfRule type="expression" dxfId="8" priority="30" stopIfTrue="1">
      <formula>$J$59=""</formula>
    </cfRule>
  </conditionalFormatting>
  <conditionalFormatting sqref="L59">
    <cfRule type="expression" dxfId="7" priority="31" stopIfTrue="1">
      <formula>$AS$59=""</formula>
    </cfRule>
    <cfRule type="expression" dxfId="6" priority="32" stopIfTrue="1">
      <formula>$J$59=""</formula>
    </cfRule>
    <cfRule type="expression" dxfId="5" priority="33" stopIfTrue="1">
      <formula>$J$60=""</formula>
    </cfRule>
  </conditionalFormatting>
  <conditionalFormatting sqref="L60">
    <cfRule type="expression" dxfId="4" priority="34" stopIfTrue="1">
      <formula>$AS$60=""</formula>
    </cfRule>
    <cfRule type="expression" dxfId="3" priority="35" stopIfTrue="1">
      <formula>$J$60=""</formula>
    </cfRule>
    <cfRule type="expression" dxfId="2" priority="36" stopIfTrue="1">
      <formula>$J$61=""</formula>
    </cfRule>
  </conditionalFormatting>
  <conditionalFormatting sqref="L61">
    <cfRule type="expression" dxfId="1" priority="37" stopIfTrue="1">
      <formula>$AS$61=""</formula>
    </cfRule>
    <cfRule type="expression" dxfId="0" priority="38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portrait" horizontalDpi="300" verticalDpi="300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CH56"/>
  <sheetViews>
    <sheetView workbookViewId="0"/>
  </sheetViews>
  <sheetFormatPr baseColWidth="10" defaultRowHeight="12.75"/>
  <cols>
    <col min="1" max="2" width="2.85546875" bestFit="1" customWidth="1"/>
    <col min="3" max="3" width="1.85546875" bestFit="1" customWidth="1"/>
    <col min="4" max="4" width="24.7109375" bestFit="1" customWidth="1"/>
    <col min="5" max="6" width="12.7109375" bestFit="1" customWidth="1"/>
    <col min="7" max="8" width="3.28515625" bestFit="1" customWidth="1"/>
    <col min="9" max="9" width="6.28515625" bestFit="1" customWidth="1"/>
    <col min="10" max="10" width="3.7109375" bestFit="1" customWidth="1"/>
    <col min="12" max="12" width="5.7109375" bestFit="1" customWidth="1"/>
    <col min="13" max="15" width="2.85546875" bestFit="1" customWidth="1"/>
    <col min="17" max="17" width="12.7109375" bestFit="1" customWidth="1"/>
    <col min="18" max="21" width="3" bestFit="1" customWidth="1"/>
    <col min="23" max="23" width="12.7109375" bestFit="1" customWidth="1"/>
    <col min="24" max="27" width="3" bestFit="1" customWidth="1"/>
    <col min="29" max="29" width="17.140625" bestFit="1" customWidth="1"/>
    <col min="30" max="30" width="1.85546875" bestFit="1" customWidth="1"/>
    <col min="31" max="31" width="1.7109375" bestFit="1" customWidth="1"/>
    <col min="33" max="34" width="1.85546875" bestFit="1" customWidth="1"/>
    <col min="35" max="35" width="3.28515625" bestFit="1" customWidth="1"/>
    <col min="37" max="37" width="1.85546875" bestFit="1" customWidth="1"/>
    <col min="38" max="40" width="3" bestFit="1" customWidth="1"/>
    <col min="41" max="41" width="7.28515625" bestFit="1" customWidth="1"/>
    <col min="43" max="43" width="1.85546875" bestFit="1" customWidth="1"/>
    <col min="44" max="46" width="3" bestFit="1" customWidth="1"/>
    <col min="48" max="48" width="4.140625" bestFit="1" customWidth="1"/>
    <col min="49" max="51" width="3" bestFit="1" customWidth="1"/>
  </cols>
  <sheetData>
    <row r="2" spans="2:86" s="36" customFormat="1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2:86" s="36" customFormat="1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21.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75</v>
      </c>
      <c r="N4" s="153" t="s">
        <v>21</v>
      </c>
      <c r="O4" s="43" t="s">
        <v>22</v>
      </c>
      <c r="Q4" s="162" t="s">
        <v>23</v>
      </c>
      <c r="R4" s="163" t="str">
        <f>Q5</f>
        <v>FC Lindau 2</v>
      </c>
      <c r="S4" s="163" t="str">
        <f>Q6</f>
        <v>SG Rollshausen/Obernfeld</v>
      </c>
      <c r="T4" s="163" t="str">
        <f>Q7</f>
        <v>SV BW Bilshausen</v>
      </c>
      <c r="U4" s="163" t="str">
        <f>Q8</f>
        <v>FC Höherberg</v>
      </c>
      <c r="V4" s="164"/>
      <c r="W4" s="162" t="s">
        <v>55</v>
      </c>
      <c r="X4" s="163" t="str">
        <f>W5</f>
        <v>FC Lindau 2</v>
      </c>
      <c r="Y4" s="163" t="str">
        <f>W6</f>
        <v>SG Rollshausen/Obernfeld</v>
      </c>
      <c r="Z4" s="163" t="str">
        <f>W7</f>
        <v>SV BW Bilshausen</v>
      </c>
      <c r="AA4" s="163" t="str">
        <f>W8</f>
        <v>FC Höherberg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>
      <c r="B5" s="43">
        <v>1</v>
      </c>
      <c r="C5" s="151">
        <f>RANK(D5,$D$5:$D$8,1)</f>
        <v>4</v>
      </c>
      <c r="D5" s="151">
        <f>E5+ROW()/1000</f>
        <v>4.0049999999999999</v>
      </c>
      <c r="E5" s="151">
        <f>RANK(K5,$K$5:$K$8)</f>
        <v>4</v>
      </c>
      <c r="F5" s="43" t="str">
        <f>VLOOKUP(B5,Ergebniseingabe!$C$19:$X$22,2,0)</f>
        <v>FC Lindau 2</v>
      </c>
      <c r="G5" s="39">
        <f>SUMPRODUCT((F5=Ergebniseingabe!$L$27:$AF$38)*(Ergebniseingabe!$BC$27:$BC$38))+SUMPRODUCT((F5=Ergebniseingabe!$AH$27:$BB$38)*(Ergebniseingabe!$BF$27:$BF$38))</f>
        <v>3</v>
      </c>
      <c r="H5" s="39">
        <f>SUMPRODUCT((F5=Ergebniseingabe!$L$27:$AF$38)*(Ergebniseingabe!$BF$27:$BF$38))+SUMPRODUCT((F5=Ergebniseingabe!$AH$27:$BB$38)*(Ergebniseingabe!$BC$27:$BC$38))</f>
        <v>15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-12</v>
      </c>
      <c r="K5" s="190">
        <f>AC5+AI5+AO5</f>
        <v>-11997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3</v>
      </c>
      <c r="Q5" s="172" t="str">
        <f>$F$5</f>
        <v>FC Lindau 2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2</v>
      </c>
      <c r="U5" s="174">
        <f>IF(AND(Q5&amp;$U$4=VLOOKUP(Q5&amp;$U$4,$D$23:$I$46,1,0),VLOOKUP(Q5&amp;$U$4,$D$23:$I$46,6,0)&lt;&gt;""),VLOOKUP(Q5&amp;$U$4,$D$23:$I$46,6,0),)</f>
        <v>1</v>
      </c>
      <c r="V5" s="164"/>
      <c r="W5" s="172" t="str">
        <f>Q5</f>
        <v>FC Lindau 2</v>
      </c>
      <c r="X5" s="173"/>
      <c r="Y5" s="174">
        <f>IF(AND(ISNUMBER(S5),ISNUMBER(R6)),IF(S5&gt;R6,3,IF(S5=R6,1,0)),0)</f>
        <v>0</v>
      </c>
      <c r="Z5" s="174">
        <f>IF(AND(ISNUMBER(T5),ISNUMBER(R7)),IF(T5&gt;R7,3,IF(T5=R7,1,0)),0)</f>
        <v>0</v>
      </c>
      <c r="AA5" s="174">
        <f>IF(AND(ISNUMBER(U5),ISNUMBER(R8)),IF(U5&gt;R8,3,IF(U5=R8,1,0)),0)</f>
        <v>0</v>
      </c>
      <c r="AB5" s="164"/>
      <c r="AC5" s="175">
        <f>I5*100000+J5*1000+G5</f>
        <v>-11997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 ca="1">I5-INDEX(X5:AA5,1,$AK$4)-AR5-AW5</f>
        <v>0</v>
      </c>
      <c r="AM5" s="168">
        <f ca="1">J5-INDEX(R5:U5,1,AK4)-INDEX(R5:R8,AK4,1)-ABS(AS5)-ABS(AX5)</f>
        <v>-19</v>
      </c>
      <c r="AN5" s="168">
        <f ca="1">G5-INDEX(R5:U5,1,$AK$4)-AT5-AY5</f>
        <v>1</v>
      </c>
      <c r="AO5" s="179">
        <f>IF(OR($AD$9&lt;&gt;3,AE5="x"),0,AL5/10+AM5/1000+AN5/100000)</f>
        <v>0</v>
      </c>
      <c r="AP5" s="167"/>
      <c r="AQ5" s="180"/>
      <c r="AR5" s="168">
        <f ca="1">IF(ISNA($AQ$4),0,INDEX(X5:AA5,1,$AQ$4))</f>
        <v>0</v>
      </c>
      <c r="AS5" s="168">
        <f ca="1">IF(ISNA($AQ$4),0,(INDEX(R5:U5,1,AQ4)-INDEX(R5:R8,AQ4,1)))</f>
        <v>-3</v>
      </c>
      <c r="AT5" s="168">
        <f ca="1">IF(ISNA($AQ$4),0,INDEX(R5:U5,1,$AQ$4))</f>
        <v>0</v>
      </c>
      <c r="AU5" s="166"/>
      <c r="AV5" s="180"/>
      <c r="AW5" s="168">
        <f ca="1">IF(ISNA($AV$4),0,INDEX(X5:AA5,1,$AV$4))</f>
        <v>0</v>
      </c>
      <c r="AX5" s="168">
        <f ca="1">IF(ISNA($AV$4),0,(INDEX(R5:U5,1,AV4)-INDEX(R5:R8,AV4,1)))</f>
        <v>-4</v>
      </c>
      <c r="AY5" s="168">
        <f ca="1">IF(ISNA($AV$4),0,INDEX(R5:U5,1,$AV$4))</f>
        <v>2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>
      <c r="B6" s="43">
        <v>2</v>
      </c>
      <c r="C6" s="151">
        <f>RANK(D6,$D$5:$D$8,1)</f>
        <v>2</v>
      </c>
      <c r="D6" s="151">
        <f>E6+ROW()/1000</f>
        <v>2.0059999999999998</v>
      </c>
      <c r="E6" s="151">
        <f>RANK(K6,$K$5:$K$8)</f>
        <v>2</v>
      </c>
      <c r="F6" s="43" t="str">
        <f>VLOOKUP(B6,Ergebniseingabe!$C$19:$X$22,2,0)</f>
        <v>SG Rollshausen/Obernfeld</v>
      </c>
      <c r="G6" s="39">
        <f>SUMPRODUCT((F6=Ergebniseingabe!$L$27:$AF$38)*(Ergebniseingabe!$BC$27:$BC$38))+SUMPRODUCT((F6=Ergebniseingabe!$AH$27:$BB$38)*(Ergebniseingabe!$BF$27:$BF$38))</f>
        <v>6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7</v>
      </c>
      <c r="J6" s="40">
        <f>G6-H6</f>
        <v>4</v>
      </c>
      <c r="K6" s="190">
        <f>AC6+AI6+AO6</f>
        <v>704006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2</v>
      </c>
      <c r="N6" s="39">
        <f>SUMPRODUCT((Ergebniseingabe!$L$27:$BB$38=F6)*(Ergebniseingabe!$BC$27:$BC$38=Ergebniseingabe!$BF$27:$BF$38)*(Ergebniseingabe!$BC$27:$BC$38&lt;&gt;"")*(Ergebniseingabe!$BF$27:$BF$38&lt;&gt;""))</f>
        <v>1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SG Rollshausen/Obernfeld</v>
      </c>
      <c r="R6" s="174">
        <f>IF(AND(Q6&amp;$R$4=VLOOKUP(Q6&amp;$R$4,$D$23:$I$46,1,0),VLOOKUP(Q6&amp;$R$4,$D$23:$I$46,6,0)&lt;&gt;""),VLOOKUP(Q6&amp;$R$4,$D$23:$I$46,6,0),)</f>
        <v>3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</v>
      </c>
      <c r="V6" s="164"/>
      <c r="W6" s="181" t="str">
        <f>Q6</f>
        <v>SG Rollshausen/Obernfeld</v>
      </c>
      <c r="X6" s="174">
        <f>IF(AND(ISNUMBER(R6),ISNUMBER(S5)),IF(R6&gt;S5,3,IF(R6=S5,1,0)),0)</f>
        <v>3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704006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 ca="1">I6-INDEX(X6:AA6,1,$AK$4)-AR6-AW6</f>
        <v>3</v>
      </c>
      <c r="AM6" s="168">
        <f ca="1">J6-INDEX(R6:U6,1,AK4)-INDEX(S5:S8,AK4,1)-ABS(AS6)-ABS(AX6)</f>
        <v>1</v>
      </c>
      <c r="AN6" s="168">
        <f ca="1">G6-INDEX(R6:U6,1,$AK$4)-AT6-AY6</f>
        <v>3</v>
      </c>
      <c r="AO6" s="179">
        <f>IF(OR($AD$9&lt;&gt;3,AE6="x"),0,AL6/10+AM6/1000+AN6/100000)</f>
        <v>0</v>
      </c>
      <c r="AP6" s="167"/>
      <c r="AQ6" s="180"/>
      <c r="AR6" s="168">
        <f ca="1">IF(ISNA($AQ$4),0,INDEX(X6:AA6,1,$AQ$4))</f>
        <v>0</v>
      </c>
      <c r="AS6" s="168">
        <f ca="1">IF(ISNA($AQ$4),0,(INDEX(R6:U6,1,AQ4)-INDEX(S5:S8,AQ4,1)))</f>
        <v>0</v>
      </c>
      <c r="AT6" s="168">
        <f ca="1">IF(ISNA($AQ$4),0,INDEX(R6:U6,1,$AQ$4))</f>
        <v>0</v>
      </c>
      <c r="AU6" s="166"/>
      <c r="AV6" s="180"/>
      <c r="AW6" s="168">
        <f ca="1">IF(ISNA($AV$4),0,INDEX(X6:AA6,1,$AV$4))</f>
        <v>1</v>
      </c>
      <c r="AX6" s="168">
        <f ca="1">IF(ISNA($AV$4),0,(INDEX(R6:U6,1,AV4)-INDEX(S5:S8,AV4,1)))</f>
        <v>0</v>
      </c>
      <c r="AY6" s="168">
        <f ca="1"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>
      <c r="B7" s="43">
        <v>3</v>
      </c>
      <c r="C7" s="151">
        <f>RANK(D7,$D$5:$D$8,1)</f>
        <v>1</v>
      </c>
      <c r="D7" s="151">
        <f>E7+ROW()/1000</f>
        <v>1.0069999999999999</v>
      </c>
      <c r="E7" s="151">
        <f>RANK(K7,$K$5:$K$8)</f>
        <v>1</v>
      </c>
      <c r="F7" s="43" t="str">
        <f>VLOOKUP(B7,Ergebniseingabe!$C$19:$X$22,2,0)</f>
        <v>SV BW Bilshausen</v>
      </c>
      <c r="G7" s="39">
        <f>SUMPRODUCT((F7=Ergebniseingabe!$L$27:$AF$38)*(Ergebniseingabe!$BC$27:$BC$38))+SUMPRODUCT((F7=Ergebniseingabe!$AH$27:$BB$38)*(Ergebniseingabe!$BF$27:$BF$38))</f>
        <v>11</v>
      </c>
      <c r="H7" s="39">
        <f>SUMPRODUCT((F7=Ergebniseingabe!$L$27:$AF$38)*(Ergebniseingabe!$BF$27:$BF$38))+SUMPRODUCT((F7=Ergebniseingabe!$AH$27:$BB$38)*(Ergebniseingabe!$BC$27:$BC$38))</f>
        <v>4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7</v>
      </c>
      <c r="J7" s="40">
        <f>G7-H7</f>
        <v>7</v>
      </c>
      <c r="K7" s="190">
        <f>AC7+AI7+AO7</f>
        <v>707011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1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SV BW Bilshausen</v>
      </c>
      <c r="R7" s="174">
        <f>IF(AND(Q7&amp;$R$4=VLOOKUP(Q7&amp;$R$4,$D$23:$I$46,1,0),VLOOKUP(Q7&amp;$R$4,$D$23:$I$46,6,0)&lt;&gt;""),VLOOKUP(Q7&amp;$R$4,$D$23:$I$46,6,0),)</f>
        <v>6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3</v>
      </c>
      <c r="V7" s="164"/>
      <c r="W7" s="181" t="str">
        <f>Q7</f>
        <v>SV BW Bilshausen</v>
      </c>
      <c r="X7" s="174">
        <f>IF(AND(ISNUMBER(R7),ISNUMBER(T5)),IF(R7&gt;T5,3,IF(R7=T5,1,0)),0)</f>
        <v>3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707011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 ca="1">I7-INDEX(X7:AA7,1,$AK$4)-AR7-AW7</f>
        <v>3</v>
      </c>
      <c r="AM7" s="168">
        <f ca="1">J7-INDEX(R7:U7,1,AK4)-INDEX(T5:T8,AK4,1)-ABS(AS7)-ABS(AX7)</f>
        <v>-1</v>
      </c>
      <c r="AN7" s="168">
        <f ca="1">G7-INDEX(R7:U7,1,$AK$4)-AT7-AY7</f>
        <v>5</v>
      </c>
      <c r="AO7" s="179">
        <f>IF(OR($AD$9&lt;&gt;3,AE7="x"),0,AL7/10+AM7/1000+AN7/100000)</f>
        <v>0</v>
      </c>
      <c r="AP7" s="167"/>
      <c r="AQ7" s="180"/>
      <c r="AR7" s="168">
        <f ca="1">IF(ISNA($AQ$4),0,INDEX(X7:AA7,1,$AQ$4))</f>
        <v>1</v>
      </c>
      <c r="AS7" s="168">
        <f ca="1">IF(ISNA($AQ$4),0,(INDEX(R7:U7,1,AQ4)-INDEX(T5:T8,AQ4,1)))</f>
        <v>0</v>
      </c>
      <c r="AT7" s="168">
        <f ca="1">IF(ISNA($AQ$4),0,INDEX(R7:U7,1,$AQ$4))</f>
        <v>0</v>
      </c>
      <c r="AU7" s="166"/>
      <c r="AV7" s="180"/>
      <c r="AW7" s="168">
        <f ca="1">IF(ISNA($AV$4),0,INDEX(X7:AA7,1,$AV$4))</f>
        <v>0</v>
      </c>
      <c r="AX7" s="168">
        <f ca="1">IF(ISNA($AV$4),0,(INDEX(R7:U7,1,AV4)-INDEX(T5:T8,AV4,1)))</f>
        <v>0</v>
      </c>
      <c r="AY7" s="168">
        <f ca="1"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>
      <c r="B8" s="43">
        <v>4</v>
      </c>
      <c r="C8" s="151">
        <f>RANK(D8,$D$5:$D$8,1)</f>
        <v>3</v>
      </c>
      <c r="D8" s="151">
        <f>E8+ROW()/1000</f>
        <v>3.008</v>
      </c>
      <c r="E8" s="151">
        <f>RANK(K8,$K$5:$K$8)</f>
        <v>3</v>
      </c>
      <c r="F8" s="43" t="str">
        <f>VLOOKUP(B8,Ergebniseingabe!$C$19:$X$22,2,0)</f>
        <v>FC Höherberg</v>
      </c>
      <c r="G8" s="39">
        <f>SUMPRODUCT((F8=Ergebniseingabe!$L$27:$AF$38)*(Ergebniseingabe!$BC$27:$BC$38))+SUMPRODUCT((F8=Ergebniseingabe!$AH$27:$BB$38)*(Ergebniseingabe!$BF$27:$BF$38))</f>
        <v>6</v>
      </c>
      <c r="H8" s="39">
        <f>SUMPRODUCT((F8=Ergebniseingabe!$L$27:$AF$38)*(Ergebniseingabe!$BF$27:$BF$38))+SUMPRODUCT((F8=Ergebniseingabe!$AH$27:$BB$38)*(Ergebniseingabe!$BC$27:$BC$38))</f>
        <v>5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3</v>
      </c>
      <c r="J8" s="40">
        <f>G8-H8</f>
        <v>1</v>
      </c>
      <c r="K8" s="190">
        <f>AC8+AI8+AO8</f>
        <v>301006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2</v>
      </c>
      <c r="Q8" s="184" t="str">
        <f>$F$8</f>
        <v>FC Höherberg</v>
      </c>
      <c r="R8" s="174">
        <f>IF(AND(Q8&amp;$R$4=VLOOKUP(Q8&amp;$R$4,$D$23:$I$46,1,0),VLOOKUP(Q8&amp;$R$4,$D$23:$I$46,6,0)&lt;&gt;""),VLOOKUP(Q8&amp;$R$4,$D$23:$I$46,6,0),)</f>
        <v>6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FC Höherberg</v>
      </c>
      <c r="X8" s="174">
        <f>IF(AND(ISNUMBER(R8),ISNUMBER(U5)),IF(R8&gt;U5,3,IF(R8=U5,1,0)),0)</f>
        <v>3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301006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 ca="1">I8-INDEX(X8:AA8,1,$AK$4)-AR8-AW8</f>
        <v>0</v>
      </c>
      <c r="AM8" s="168">
        <f ca="1">J8-INDEX(R8:U8,1,AK4)-INDEX(U5:U8,AK4,1)-ABS(AS8)-ABS(AX8)</f>
        <v>-10</v>
      </c>
      <c r="AN8" s="168">
        <f ca="1"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 ca="1">IF(ISNA($AQ$4),0,INDEX(X8:AA8,1,$AQ$4))</f>
        <v>0</v>
      </c>
      <c r="AS8" s="168">
        <f ca="1">IF(ISNA($AQ$4),0,(INDEX(R8:U8,1,AQ4)-INDEX(U5:U8,AQ4,1)))</f>
        <v>-1</v>
      </c>
      <c r="AT8" s="168">
        <f ca="1">IF(ISNA($AQ$4),0,INDEX(R8:U8,1,$AQ$4))</f>
        <v>0</v>
      </c>
      <c r="AU8" s="166"/>
      <c r="AV8" s="180"/>
      <c r="AW8" s="168">
        <f ca="1">IF(ISNA($AV$4),0,INDEX(X8:AA8,1,$AV$4))</f>
        <v>0</v>
      </c>
      <c r="AX8" s="168">
        <f ca="1">IF(ISNA($AV$4),0,(INDEX(R8:U8,1,AV4)-INDEX(U5:U8,AV4,1)))</f>
        <v>-3</v>
      </c>
      <c r="AY8" s="168">
        <f ca="1"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76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77</v>
      </c>
      <c r="AO9" s="170"/>
      <c r="AP9" s="167"/>
      <c r="AQ9" s="170"/>
      <c r="AR9" s="189" t="s">
        <v>55</v>
      </c>
      <c r="AS9" s="189" t="s">
        <v>56</v>
      </c>
      <c r="AT9" s="189" t="s">
        <v>77</v>
      </c>
      <c r="AU9" s="170"/>
      <c r="AV9" s="170"/>
      <c r="AW9" s="189" t="s">
        <v>55</v>
      </c>
      <c r="AX9" s="189" t="s">
        <v>56</v>
      </c>
      <c r="AY9" s="189" t="s">
        <v>77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FC Lindau 1</v>
      </c>
      <c r="S13" s="163" t="str">
        <f>Q15</f>
        <v>TSV Elvershausen</v>
      </c>
      <c r="T13" s="163" t="str">
        <f>Q16</f>
        <v>SV Höckelheim</v>
      </c>
      <c r="U13" s="163" t="str">
        <f>Q17</f>
        <v>SG Rhume</v>
      </c>
      <c r="V13" s="164"/>
      <c r="W13" s="162" t="s">
        <v>55</v>
      </c>
      <c r="X13" s="163" t="str">
        <f>W14</f>
        <v>FC Lindau 1</v>
      </c>
      <c r="Y13" s="163" t="str">
        <f>W15</f>
        <v>TSV Elvershausen</v>
      </c>
      <c r="Z13" s="163" t="str">
        <f>W16</f>
        <v>SV Höckelheim</v>
      </c>
      <c r="AA13" s="163" t="str">
        <f>W17</f>
        <v>SG Rhume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FC Lindau 1</v>
      </c>
      <c r="G14" s="39">
        <f>SUMPRODUCT((F14=Ergebniseingabe!$L$27:$AF$38)*(Ergebniseingabe!$BC$27:$BC$38))+SUMPRODUCT((F14=Ergebniseingabe!$AH$27:$BB$38)*(Ergebniseingabe!$BF$27:$BF$38))</f>
        <v>11</v>
      </c>
      <c r="H14" s="39">
        <f>SUMPRODUCT((F14=Ergebniseingabe!$L$27:$AF$38)*(Ergebniseingabe!$BF$27:$BF$38))+SUMPRODUCT((F14=Ergebniseingabe!$AH$27:$BB$38)*(Ergebniseingabe!$BC$27:$BC$38))</f>
        <v>3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9</v>
      </c>
      <c r="J14" s="40">
        <f>G14-H14</f>
        <v>8</v>
      </c>
      <c r="K14" s="190">
        <f>AC14+AI14+AO14</f>
        <v>908011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3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FC Lindau 1</v>
      </c>
      <c r="R14" s="173"/>
      <c r="S14" s="174">
        <f>IF(AND(Q14&amp;$S$13=VLOOKUP(Q14&amp;$S$13,$D$23:$I$46,1,0),VLOOKUP(Q14&amp;$S$13,$D$23:$I$46,6,0)&lt;&gt;""),VLOOKUP(Q14&amp;$S$13,$D$23:$I$46,6,0),)</f>
        <v>5</v>
      </c>
      <c r="T14" s="174">
        <f>IF(AND(Q14&amp;$T$13=VLOOKUP(Q14&amp;$T$13,$D$23:$I$46,1,0),VLOOKUP(Q14&amp;$T$13,$D$23:$I$46,6,0)&lt;&gt;""),VLOOKUP(Q14&amp;$T$13,$D$23:$I$46,6,0),)</f>
        <v>4</v>
      </c>
      <c r="U14" s="174">
        <f>IF(AND(Q14&amp;$U$13=VLOOKUP(Q14&amp;$U$13,$D$23:$I$46,1,0),VLOOKUP(Q14&amp;$U$13,$D$23:$I$46,6,0)&lt;&gt;""),VLOOKUP(Q14&amp;$U$13,$D$23:$I$46,6,0),)</f>
        <v>2</v>
      </c>
      <c r="V14" s="164"/>
      <c r="W14" s="172" t="str">
        <f>Q14</f>
        <v>FC Lindau 1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3</v>
      </c>
      <c r="AB14" s="164"/>
      <c r="AC14" s="175">
        <f>I14*100000+J14*1000+G14</f>
        <v>908011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 ca="1">I14-INDEX(X14:AA14,1,$AK$13)-AR14-AW14</f>
        <v>3</v>
      </c>
      <c r="AM14" s="168">
        <f ca="1">J14-INDEX(R14:U14,1,AK13)-INDEX(R14:R17,AK13,1)-ABS(AS14)-ABS(AX14)</f>
        <v>1</v>
      </c>
      <c r="AN14" s="168">
        <f ca="1">G14-INDEX(R14:U14,1,$AK$13)-AT14-AY14</f>
        <v>2</v>
      </c>
      <c r="AO14" s="179">
        <f>IF(OR($AD$18&lt;&gt;3,AE14="x"),0,AL14/10+AM14/1000+AN14/100000)</f>
        <v>0</v>
      </c>
      <c r="AP14" s="167"/>
      <c r="AQ14" s="180"/>
      <c r="AR14" s="168">
        <f ca="1">IF(ISNA($AQ$13),0,INDEX(X14:AA14,1,$AQ$13))</f>
        <v>3</v>
      </c>
      <c r="AS14" s="168">
        <f ca="1">IF(ISNA($AQ$13),0,(INDEX(R14:U14,1,$AQ$13)-INDEX(R14:R17,$AQ$13,1)))</f>
        <v>3</v>
      </c>
      <c r="AT14" s="168">
        <f ca="1">IF(ISNA($AQ$13),0,INDEX(R14:U14,1,$AQ$13))</f>
        <v>5</v>
      </c>
      <c r="AU14" s="166"/>
      <c r="AV14" s="180"/>
      <c r="AW14" s="168">
        <f ca="1">IF(ISNA($AV$13),0,INDEX(X14:AA14,1,$AV$13))</f>
        <v>3</v>
      </c>
      <c r="AX14" s="168">
        <f ca="1">IF(ISNA($AV$13),0,(INDEX(R14:U14,1,$AV$13)-INDEX(R14:R17,$AV$13,1)))</f>
        <v>4</v>
      </c>
      <c r="AY14" s="168">
        <f ca="1">IF(ISNA($AV$13),0,INDEX(R14:U14,1,$AV$13))</f>
        <v>4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>
      <c r="B15" s="43">
        <v>2</v>
      </c>
      <c r="C15" s="151">
        <f>RANK(D15,$D$14:$D$17,1)</f>
        <v>3</v>
      </c>
      <c r="D15" s="151">
        <f>E15+ROW()/1000</f>
        <v>3.0150000000000001</v>
      </c>
      <c r="E15" s="151">
        <f>RANK(K15,$K$14:$K$17)</f>
        <v>3</v>
      </c>
      <c r="F15" s="43" t="str">
        <f>VLOOKUP(B15,Ergebniseingabe!$AB$19:$AW$22,2,0)</f>
        <v>TSV Elvershausen</v>
      </c>
      <c r="G15" s="39">
        <f>SUMPRODUCT((F15=Ergebniseingabe!$L$27:$AF$38)*(Ergebniseingabe!$BC$27:$BC$38))+SUMPRODUCT((F15=Ergebniseingabe!$AH$27:$BB$38)*(Ergebniseingabe!$BF$27:$BF$38))</f>
        <v>6</v>
      </c>
      <c r="H15" s="39">
        <f>SUMPRODUCT((F15=Ergebniseingabe!$L$27:$AF$38)*(Ergebniseingabe!$BF$27:$BF$38))+SUMPRODUCT((F15=Ergebniseingabe!$AH$27:$BB$38)*(Ergebniseingabe!$BC$27:$BC$38))</f>
        <v>7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4</v>
      </c>
      <c r="J15" s="40">
        <f>G15-H15</f>
        <v>-1</v>
      </c>
      <c r="K15" s="190">
        <f>AC15+AI15+AO15</f>
        <v>399006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1</v>
      </c>
      <c r="N15" s="39">
        <f>SUMPRODUCT((Ergebniseingabe!$L$27:$BB$38=F15)*(Ergebniseingabe!$BC$27:$BC$38=Ergebniseingabe!$BF$27:$BF$38)*(Ergebniseingabe!$BC$27:$BC$38&lt;&gt;"")*(Ergebniseingabe!$BF$27:$BF$38&lt;&gt;""))</f>
        <v>1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1</v>
      </c>
      <c r="Q15" s="172" t="str">
        <f>F15</f>
        <v>TSV Elvershausen</v>
      </c>
      <c r="R15" s="174">
        <f>IF(AND(Q15&amp;$R$13=VLOOKUP(Q15&amp;$R$13,$D$23:$I$46,1,0),VLOOKUP(Q15&amp;$R$13,$D$23:$I$46,6,0)&lt;&gt;""),VLOOKUP(Q15&amp;$R$13,$D$23:$I$46,6,0),)</f>
        <v>2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2</v>
      </c>
      <c r="V15" s="164"/>
      <c r="W15" s="181" t="str">
        <f>Q15</f>
        <v>TSV Elvershausen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399006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 ca="1">I15-INDEX(X15:AA15,1,$AK$13)-AR15-AW15</f>
        <v>3</v>
      </c>
      <c r="AM15" s="168">
        <f ca="1">J15-INDEX(R15:U15,1,AK13)-INDEX(S14:S17,AK13,1)-ABS(AS15)-ABS(AX15)</f>
        <v>-8</v>
      </c>
      <c r="AN15" s="168">
        <f ca="1">G15-INDEX(R15:U15,1,$AK$13)-AT15-AY15</f>
        <v>4</v>
      </c>
      <c r="AO15" s="179">
        <f>IF(OR($AD$18&lt;&gt;3,AE15="x"),0,AL15/10+AM15/1000+AN15/100000)</f>
        <v>0</v>
      </c>
      <c r="AP15" s="167"/>
      <c r="AQ15" s="180"/>
      <c r="AR15" s="168">
        <f ca="1">IF(ISNA($AQ$13),0,INDEX(X15:AA15,1,$AQ$13))</f>
        <v>0</v>
      </c>
      <c r="AS15" s="168">
        <f ca="1">IF(ISNA($AQ$13),0,(INDEX(R15:U15,1,$AQ$13)-INDEX(S14:S17,$AQ$13,1)))</f>
        <v>0</v>
      </c>
      <c r="AT15" s="168">
        <f ca="1">IF(ISNA($AQ$13),0,INDEX(R15:U15,1,$AQ$13))</f>
        <v>0</v>
      </c>
      <c r="AU15" s="166"/>
      <c r="AV15" s="180"/>
      <c r="AW15" s="168">
        <f ca="1">IF(ISNA($AV$13),0,INDEX(X15:AA15,1,$AV$13))</f>
        <v>1</v>
      </c>
      <c r="AX15" s="168">
        <f ca="1">IF(ISNA($AV$13),0,(INDEX(R15:U15,1,$AV$13)-INDEX(S14:S17,$AV$13,1)))</f>
        <v>0</v>
      </c>
      <c r="AY15" s="168">
        <f ca="1"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>
      <c r="B16" s="43">
        <v>3</v>
      </c>
      <c r="C16" s="151">
        <f>RANK(D16,$D$14:$D$17,1)</f>
        <v>4</v>
      </c>
      <c r="D16" s="151">
        <f>E16+ROW()/1000</f>
        <v>4.016</v>
      </c>
      <c r="E16" s="151">
        <f>RANK(K16,$K$14:$K$17)</f>
        <v>4</v>
      </c>
      <c r="F16" s="43" t="str">
        <f>VLOOKUP(B16,Ergebniseingabe!$AB$19:$AW$22,2,0)</f>
        <v>SV Höckelheim</v>
      </c>
      <c r="G16" s="39">
        <f>SUMPRODUCT((F16=Ergebniseingabe!$L$27:$AF$38)*(Ergebniseingabe!$BC$27:$BC$38))+SUMPRODUCT((F16=Ergebniseingabe!$AH$27:$BB$38)*(Ergebniseingabe!$BF$27:$BF$38))</f>
        <v>1</v>
      </c>
      <c r="H16" s="39">
        <f>SUMPRODUCT((F16=Ergebniseingabe!$L$27:$AF$38)*(Ergebniseingabe!$BF$27:$BF$38))+SUMPRODUCT((F16=Ergebniseingabe!$AH$27:$BB$38)*(Ergebniseingabe!$BC$27:$BC$38))</f>
        <v>9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-8</v>
      </c>
      <c r="K16" s="190">
        <f>AC16+AI16+AO16</f>
        <v>-7999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3</v>
      </c>
      <c r="Q16" s="172" t="str">
        <f>F16</f>
        <v>SV Höckelheim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1</v>
      </c>
      <c r="V16" s="164"/>
      <c r="W16" s="181" t="str">
        <f>Q16</f>
        <v>SV Höckelheim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-7999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 ca="1">I16-INDEX(X16:AA16,1,$AK$13)-AR16-AW16</f>
        <v>-1</v>
      </c>
      <c r="AM16" s="168">
        <f ca="1">J16-INDEX(R16:U16,1,AK13)-INDEX(T14:T17,AK13,1)-ABS(AS16)-ABS(AX16)</f>
        <v>-12</v>
      </c>
      <c r="AN16" s="168">
        <f ca="1">G16-INDEX(R16:U16,1,$AK$13)-AT16-AY16</f>
        <v>1</v>
      </c>
      <c r="AO16" s="179">
        <f>IF(OR($AD$18&lt;&gt;3,AE16="x"),0,AL16/10+AM16/1000+AN16/100000)</f>
        <v>0</v>
      </c>
      <c r="AP16" s="167"/>
      <c r="AQ16" s="180"/>
      <c r="AR16" s="168">
        <f ca="1">IF(ISNA($AQ$13),0,INDEX(X16:AA16,1,$AQ$13))</f>
        <v>1</v>
      </c>
      <c r="AS16" s="168">
        <f ca="1">IF(ISNA($AQ$13),0,(INDEX(R16:U16,1,$AQ$13)-INDEX(T14:T17,$AQ$13,1)))</f>
        <v>0</v>
      </c>
      <c r="AT16" s="168">
        <f ca="1">IF(ISNA($AQ$13),0,INDEX(R16:U16,1,$AQ$13))</f>
        <v>0</v>
      </c>
      <c r="AU16" s="166"/>
      <c r="AV16" s="180"/>
      <c r="AW16" s="168">
        <f ca="1">IF(ISNA($AV$13),0,INDEX(X16:AA16,1,$AV$13))</f>
        <v>0</v>
      </c>
      <c r="AX16" s="168">
        <f ca="1">IF(ISNA($AV$13),0,(INDEX(R16:U16,1,$AV$13)-INDEX(T14:T17,$AV$13,1)))</f>
        <v>0</v>
      </c>
      <c r="AY16" s="168">
        <f ca="1"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>
      <c r="B17" s="43">
        <v>4</v>
      </c>
      <c r="C17" s="151">
        <f>RANK(D17,$D$14:$D$17,1)</f>
        <v>2</v>
      </c>
      <c r="D17" s="151">
        <f>E17+ROW()/1000</f>
        <v>2.0169999999999999</v>
      </c>
      <c r="E17" s="151">
        <f>RANK(K17,$K$14:$K$17)</f>
        <v>2</v>
      </c>
      <c r="F17" s="43" t="str">
        <f>VLOOKUP(B17,Ergebniseingabe!$AB$19:$AW$22,2,0)</f>
        <v>SG Rhume</v>
      </c>
      <c r="G17" s="39">
        <f>SUMPRODUCT((F17=Ergebniseingabe!$L$27:$AF$38)*(Ergebniseingabe!$BC$27:$BC$38))+SUMPRODUCT((F17=Ergebniseingabe!$AH$27:$BB$38)*(Ergebniseingabe!$BF$27:$BF$38))</f>
        <v>6</v>
      </c>
      <c r="H17" s="39">
        <f>SUMPRODUCT((F17=Ergebniseingabe!$L$27:$AF$38)*(Ergebniseingabe!$BF$27:$BF$38))+SUMPRODUCT((F17=Ergebniseingabe!$AH$27:$BB$38)*(Ergebniseingabe!$BC$27:$BC$38))</f>
        <v>5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4</v>
      </c>
      <c r="J17" s="40">
        <f>G17-H17</f>
        <v>1</v>
      </c>
      <c r="K17" s="190">
        <f>AC17+AI17+AO17</f>
        <v>401006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1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1</v>
      </c>
      <c r="Q17" s="172" t="str">
        <f>F17</f>
        <v>SG Rhume</v>
      </c>
      <c r="R17" s="174">
        <f>IF(AND(Q17&amp;$R$13=VLOOKUP(Q17&amp;$R$13,$D$23:$I$46,1,0),VLOOKUP(Q17&amp;$R$13,$D$23:$I$46,6,0)&lt;&gt;""),VLOOKUP(Q17&amp;$R$13,$D$23:$I$46,6,0),)</f>
        <v>1</v>
      </c>
      <c r="S17" s="174">
        <f>IF(AND(Q17&amp;$S$13=VLOOKUP(Q17&amp;$S$13,$D$23:$I$46,1,0),VLOOKUP(Q17&amp;$S$13,$D$23:$I$46,6,0)&lt;&gt;""),VLOOKUP(Q17&amp;$S$13,$D$23:$I$46,6,0),)</f>
        <v>2</v>
      </c>
      <c r="T17" s="174">
        <f>IF(AND(Q17&amp;$T$13=VLOOKUP(Q17&amp;$T$13,$D$23:$I$46,1,0),VLOOKUP(Q17&amp;$T$13,$D$23:$I$46,6,0)&lt;&gt;""),VLOOKUP(Q17&amp;$T$13,$D$23:$I$46,6,0),)</f>
        <v>3</v>
      </c>
      <c r="U17" s="173"/>
      <c r="V17" s="164"/>
      <c r="W17" s="185" t="str">
        <f>Q17</f>
        <v>SG Rhume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401006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 ca="1">I17-INDEX(X17:AA17,1,$AK$13)-AR17-AW17</f>
        <v>0</v>
      </c>
      <c r="AM17" s="168">
        <f ca="1">J17-INDEX(R17:U17,1,AK13)-INDEX(U14:U17,AK13,1)-ABS(AS17)-ABS(AX17)</f>
        <v>-4</v>
      </c>
      <c r="AN17" s="168">
        <f ca="1"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 ca="1">IF(ISNA($AQ$13),0,INDEX(X17:AA17,1,$AQ$13))</f>
        <v>1</v>
      </c>
      <c r="AS17" s="168">
        <f ca="1">IF(ISNA($AQ$13),0,(INDEX(R17:U17,1,$AQ$13)-INDEX(U14:U17,$AQ$13,1)))</f>
        <v>0</v>
      </c>
      <c r="AT17" s="168">
        <f ca="1">IF(ISNA($AQ$13),0,INDEX(R17:U17,1,$AQ$13))</f>
        <v>2</v>
      </c>
      <c r="AU17" s="166"/>
      <c r="AV17" s="180"/>
      <c r="AW17" s="168">
        <f ca="1">IF(ISNA($AV$13),0,INDEX(X17:AA17,1,$AV$13))</f>
        <v>3</v>
      </c>
      <c r="AX17" s="168">
        <f ca="1">IF(ISNA($AV$13),0,(INDEX(R17:U17,1,$AV$13)-INDEX(U14:U17,$AV$13,1)))</f>
        <v>2</v>
      </c>
      <c r="AY17" s="168">
        <f ca="1">IF(ISNA($AV$13),0,INDEX(R17:U17,1,$AV$13))</f>
        <v>3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76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77</v>
      </c>
      <c r="AO18" s="170"/>
      <c r="AP18" s="167"/>
      <c r="AQ18" s="170"/>
      <c r="AR18" s="189" t="s">
        <v>55</v>
      </c>
      <c r="AS18" s="189" t="s">
        <v>56</v>
      </c>
      <c r="AT18" s="189" t="s">
        <v>77</v>
      </c>
      <c r="AU18" s="170"/>
      <c r="AV18" s="170"/>
      <c r="AW18" s="189" t="s">
        <v>55</v>
      </c>
      <c r="AX18" s="189" t="s">
        <v>56</v>
      </c>
      <c r="AY18" s="189" t="s">
        <v>77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2:86" s="36" customFormat="1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2:86" s="36" customFormat="1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2:86" s="36" customFormat="1">
      <c r="D23" s="36" t="str">
        <f t="shared" ref="D23:D46" si="0">E23&amp;F23</f>
        <v>FC Lindau 2SG Rollshausen/Obernfeld</v>
      </c>
      <c r="E23" s="36" t="str">
        <f>F5</f>
        <v>FC Lindau 2</v>
      </c>
      <c r="F23" s="36" t="str">
        <f>F6</f>
        <v>SG Rollshausen/Obernfeld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0:3</v>
      </c>
      <c r="H23" s="36" t="str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  <v/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0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2:86" s="36" customFormat="1">
      <c r="D24" s="36" t="str">
        <f t="shared" si="0"/>
        <v>FC Lindau 2SV BW Bilshausen</v>
      </c>
      <c r="E24" s="36" t="str">
        <f>F5</f>
        <v>FC Lindau 2</v>
      </c>
      <c r="F24" s="36" t="str">
        <f>F7</f>
        <v>SV BW Bilshausen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2:6</v>
      </c>
      <c r="H24" s="36" t="str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  <v/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2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2:86" s="36" customFormat="1">
      <c r="D25" s="36" t="str">
        <f t="shared" si="0"/>
        <v>FC Lindau 2FC Höherberg</v>
      </c>
      <c r="E25" s="36" t="str">
        <f>F5</f>
        <v>FC Lindau 2</v>
      </c>
      <c r="F25" s="36" t="str">
        <f>F8</f>
        <v>FC Höherberg</v>
      </c>
      <c r="G25" s="36" t="str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  <v/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1:6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2:86" s="36" customFormat="1">
      <c r="D26" s="36" t="str">
        <f t="shared" si="0"/>
        <v>SG Rollshausen/ObernfeldSV BW Bilshausen</v>
      </c>
      <c r="E26" s="36" t="str">
        <f>F6</f>
        <v>SG Rollshausen/Obernfeld</v>
      </c>
      <c r="F26" s="36" t="str">
        <f>F7</f>
        <v>SV BW Bilshausen</v>
      </c>
      <c r="G26" s="36" t="str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  <v/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2:2</v>
      </c>
      <c r="I26" s="43" t="str">
        <f>IF(SUMPRODUCT((Ergebniseingabe!$L$27:$L$38=E26)*(Ergebniseingabe!$AH$27:$AH$38=F26)*(ISNUMBER(Ergebniseingabe!$BF$27:$BF$38)))=1,SUMPRODUCT((Ergebniseingabe!$L$27:$L$38=E26)*(Ergebniseingabe!$AH$27:$AH$38=F26)*(Ergebniseingabe!$BC$27:$BC$38)),"")</f>
        <v/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2:86" s="36" customFormat="1">
      <c r="D27" s="36" t="str">
        <f t="shared" si="0"/>
        <v>SG Rollshausen/ObernfeldFC Höherberg</v>
      </c>
      <c r="E27" s="36" t="str">
        <f>F6</f>
        <v>SG Rollshausen/Obernfeld</v>
      </c>
      <c r="F27" s="36" t="str">
        <f>F8</f>
        <v>FC Höherberg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1:0</v>
      </c>
      <c r="H27" s="36" t="str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  <v/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2:86" s="36" customFormat="1">
      <c r="D28" s="36" t="str">
        <f t="shared" si="0"/>
        <v>SV BW BilshausenFC Höherberg</v>
      </c>
      <c r="E28" s="36" t="str">
        <f>F7</f>
        <v>SV BW Bilshausen</v>
      </c>
      <c r="F28" s="36" t="str">
        <f>F8</f>
        <v>FC Höherberg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3:0</v>
      </c>
      <c r="H28" s="36" t="str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  <v/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3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2:86" s="36" customFormat="1">
      <c r="D29" s="36" t="str">
        <f t="shared" si="0"/>
        <v>SG Rollshausen/ObernfeldFC Lindau 2</v>
      </c>
      <c r="E29" s="36" t="str">
        <f t="shared" ref="E29:E34" si="1">F23</f>
        <v>SG Rollshausen/Obernfeld</v>
      </c>
      <c r="F29" s="36" t="str">
        <f t="shared" ref="F29:F34" si="2">E23</f>
        <v>FC Lindau 2</v>
      </c>
      <c r="G29" s="36" t="str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  <v/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3:0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3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2:86" s="36" customFormat="1">
      <c r="D30" s="36" t="str">
        <f t="shared" si="0"/>
        <v>SV BW BilshausenFC Lindau 2</v>
      </c>
      <c r="E30" s="36" t="str">
        <f t="shared" si="1"/>
        <v>SV BW Bilshausen</v>
      </c>
      <c r="F30" s="36" t="str">
        <f t="shared" si="2"/>
        <v>FC Lindau 2</v>
      </c>
      <c r="G30" s="36" t="str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  <v/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6:2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6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2:86" s="36" customFormat="1">
      <c r="D31" s="36" t="str">
        <f t="shared" si="0"/>
        <v>FC HöherbergFC Lindau 2</v>
      </c>
      <c r="E31" s="36" t="str">
        <f t="shared" si="1"/>
        <v>FC Höherberg</v>
      </c>
      <c r="F31" s="36" t="str">
        <f t="shared" si="2"/>
        <v>FC Lindau 2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6:1</v>
      </c>
      <c r="H31" s="36" t="str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  <v/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6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2:86" s="36" customFormat="1">
      <c r="D32" s="36" t="str">
        <f t="shared" si="0"/>
        <v>SV BW BilshausenSG Rollshausen/Obernfeld</v>
      </c>
      <c r="E32" s="36" t="str">
        <f t="shared" si="1"/>
        <v>SV BW Bilshausen</v>
      </c>
      <c r="F32" s="36" t="str">
        <f t="shared" si="2"/>
        <v>SG Rollshausen/Obernfeld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2:2</v>
      </c>
      <c r="H32" s="36" t="str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  <v/>
      </c>
      <c r="I32" s="161" t="str">
        <f>IF(SUMPRODUCT((Ergebniseingabe!$AH$27:$AH$38=E32)*(Ergebniseingabe!$L$27:$L$38=F32)*(ISNUMBER(Ergebniseingabe!$BC$27:$BC$38)))=1,SUMPRODUCT((Ergebniseingabe!$AH$27:$AH$38=E32)*(Ergebniseingabe!$L$27:$L$38=F32)*(Ergebniseingabe!$BF$27:$BF$38)),"")</f>
        <v/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>
      <c r="D33" s="36" t="str">
        <f t="shared" si="0"/>
        <v>FC HöherbergSG Rollshausen/Obernfeld</v>
      </c>
      <c r="E33" s="36" t="str">
        <f t="shared" si="1"/>
        <v>FC Höherberg</v>
      </c>
      <c r="F33" s="36" t="str">
        <f t="shared" si="2"/>
        <v>SG Rollshausen/Obernfeld</v>
      </c>
      <c r="G33" s="36" t="str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  <v/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0:1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0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>
      <c r="D34" s="36" t="str">
        <f t="shared" si="0"/>
        <v>FC HöherbergSV BW Bilshausen</v>
      </c>
      <c r="E34" s="36" t="str">
        <f t="shared" si="1"/>
        <v>FC Höherberg</v>
      </c>
      <c r="F34" s="36" t="str">
        <f t="shared" si="2"/>
        <v>SV BW Bilshausen</v>
      </c>
      <c r="G34" s="36" t="str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  <v/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0:3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>
      <c r="D35" s="36" t="str">
        <f t="shared" si="0"/>
        <v>FC Lindau 1TSV Elvershausen</v>
      </c>
      <c r="E35" s="36" t="str">
        <f>F14</f>
        <v>FC Lindau 1</v>
      </c>
      <c r="F35" s="36" t="str">
        <f>F15</f>
        <v>TSV Elvershausen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5:2</v>
      </c>
      <c r="H35" s="36" t="str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  <v/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5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>
      <c r="D36" s="36" t="str">
        <f t="shared" si="0"/>
        <v>FC Lindau 1SV Höckelheim</v>
      </c>
      <c r="E36" s="36" t="str">
        <f>F14</f>
        <v>FC Lindau 1</v>
      </c>
      <c r="F36" s="36" t="str">
        <f>F16</f>
        <v>SV Höckelheim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4:0</v>
      </c>
      <c r="H36" s="36" t="str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  <v/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4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>
      <c r="D37" s="36" t="str">
        <f t="shared" si="0"/>
        <v>FC Lindau 1SG Rhume</v>
      </c>
      <c r="E37" s="36" t="str">
        <f>F14</f>
        <v>FC Lindau 1</v>
      </c>
      <c r="F37" s="36" t="str">
        <f>F17</f>
        <v>SG Rhume</v>
      </c>
      <c r="G37" s="36" t="str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  <v/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2:1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2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>
      <c r="D38" s="36" t="str">
        <f t="shared" si="0"/>
        <v>TSV ElvershausenSV Höckelheim</v>
      </c>
      <c r="E38" s="36" t="str">
        <f>F15</f>
        <v>TSV Elvershausen</v>
      </c>
      <c r="F38" s="36" t="str">
        <f>F16</f>
        <v>SV Höckelheim</v>
      </c>
      <c r="G38" s="36" t="str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  <v/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2:0</v>
      </c>
      <c r="I38" s="43" t="str">
        <f>IF(SUMPRODUCT((Ergebniseingabe!$L$27:$L$38=E38)*(Ergebniseingabe!$AH$27:$AH$38=F38)*(ISNUMBER(Ergebniseingabe!$BF$27:$BF$38)))=1,SUMPRODUCT((Ergebniseingabe!$L$27:$L$38=E38)*(Ergebniseingabe!$AH$27:$AH$38=F38)*(Ergebniseingabe!$BC$27:$BC$38)),"")</f>
        <v/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>
      <c r="D39" s="36" t="str">
        <f t="shared" si="0"/>
        <v>TSV ElvershausenSG Rhume</v>
      </c>
      <c r="E39" s="36" t="str">
        <f>F15</f>
        <v>TSV Elvershausen</v>
      </c>
      <c r="F39" s="36" t="str">
        <f>F17</f>
        <v>SG Rhume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2:2</v>
      </c>
      <c r="H39" s="36" t="str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  <v/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2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>
      <c r="D40" s="36" t="str">
        <f t="shared" si="0"/>
        <v>SV HöckelheimSG Rhume</v>
      </c>
      <c r="E40" s="36" t="str">
        <f>F16</f>
        <v>SV Höckelheim</v>
      </c>
      <c r="F40" s="36" t="str">
        <f>F17</f>
        <v>SG Rhume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1:3</v>
      </c>
      <c r="H40" s="36" t="str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  <v/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1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>
      <c r="D41" s="36" t="str">
        <f t="shared" si="0"/>
        <v>TSV ElvershausenFC Lindau 1</v>
      </c>
      <c r="E41" s="36" t="str">
        <f t="shared" ref="E41:E46" si="3">F35</f>
        <v>TSV Elvershausen</v>
      </c>
      <c r="F41" s="36" t="str">
        <f t="shared" ref="F41:F46" si="4">E35</f>
        <v>FC Lindau 1</v>
      </c>
      <c r="G41" s="36" t="str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  <v/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2:5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2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>
      <c r="D42" s="36" t="str">
        <f t="shared" si="0"/>
        <v>SV HöckelheimFC Lindau 1</v>
      </c>
      <c r="E42" s="36" t="str">
        <f t="shared" si="3"/>
        <v>SV Höckelheim</v>
      </c>
      <c r="F42" s="36" t="str">
        <f t="shared" si="4"/>
        <v>FC Lindau 1</v>
      </c>
      <c r="G42" s="36" t="str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  <v/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0:4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>
      <c r="D43" s="36" t="str">
        <f t="shared" si="0"/>
        <v>SG RhumeFC Lindau 1</v>
      </c>
      <c r="E43" s="36" t="str">
        <f t="shared" si="3"/>
        <v>SG Rhume</v>
      </c>
      <c r="F43" s="36" t="str">
        <f t="shared" si="4"/>
        <v>FC Lindau 1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1:2</v>
      </c>
      <c r="H43" s="36" t="str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  <v/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1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>
      <c r="D44" s="36" t="str">
        <f t="shared" si="0"/>
        <v>SV HöckelheimTSV Elvershausen</v>
      </c>
      <c r="E44" s="36" t="str">
        <f t="shared" si="3"/>
        <v>SV Höckelheim</v>
      </c>
      <c r="F44" s="36" t="str">
        <f t="shared" si="4"/>
        <v>TSV Elvershausen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0:2</v>
      </c>
      <c r="H44" s="36" t="str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  <v/>
      </c>
      <c r="I44" s="161" t="str">
        <f>IF(SUMPRODUCT((Ergebniseingabe!$AH$27:$AH$38=E44)*(Ergebniseingabe!$L$27:$L$38=F44)*(ISNUMBER(Ergebniseingabe!$BC$27:$BC$38)))=1,SUMPRODUCT((Ergebniseingabe!$AH$27:$AH$38=E44)*(Ergebniseingabe!$L$27:$L$38=F44)*(Ergebniseingabe!$BF$27:$BF$38)),"")</f>
        <v/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>
      <c r="D45" s="36" t="str">
        <f t="shared" si="0"/>
        <v>SG RhumeTSV Elvershausen</v>
      </c>
      <c r="E45" s="36" t="str">
        <f t="shared" si="3"/>
        <v>SG Rhume</v>
      </c>
      <c r="F45" s="36" t="str">
        <f t="shared" si="4"/>
        <v>TSV Elvershausen</v>
      </c>
      <c r="G45" s="36" t="str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  <v/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2:2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2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>
      <c r="D46" s="36" t="str">
        <f t="shared" si="0"/>
        <v>SG RhumeSV Höckelheim</v>
      </c>
      <c r="E46" s="36" t="str">
        <f t="shared" si="3"/>
        <v>SG Rhume</v>
      </c>
      <c r="F46" s="36" t="str">
        <f t="shared" si="4"/>
        <v>SV Höckelheim</v>
      </c>
      <c r="G46" s="36" t="str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  <v/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3:1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3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4:86" s="36" customFormat="1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4:86" s="36" customFormat="1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Ergebniseingabe</vt:lpstr>
      <vt:lpstr>Druckversion</vt:lpstr>
      <vt:lpstr>Druckversion!Druckbereich</vt:lpstr>
      <vt:lpstr>Ergebniseingabe!Druckbereich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Stefan Jünemann</cp:lastModifiedBy>
  <cp:lastPrinted>2014-01-05T20:37:17Z</cp:lastPrinted>
  <dcterms:created xsi:type="dcterms:W3CDTF">2010-02-21T20:13:34Z</dcterms:created>
  <dcterms:modified xsi:type="dcterms:W3CDTF">2014-02-04T19:27:31Z</dcterms:modified>
</cp:coreProperties>
</file>